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rgin Calculator" sheetId="1" r:id="rId1"/>
    <sheet name="NWC Verification" sheetId="2" r:id="rId2"/>
    <sheet name="Checks" sheetId="3" r:id="rId3"/>
  </sheets>
  <calcPr calcId="124519" fullCalcOnLoad="1"/>
</workbook>
</file>

<file path=xl/sharedStrings.xml><?xml version="1.0" encoding="utf-8"?>
<sst xmlns="http://schemas.openxmlformats.org/spreadsheetml/2006/main" count="96" uniqueCount="90">
  <si>
    <t>MARGIN MONEY CALCULATOR (yellow = your inputs, green = formulas)</t>
  </si>
  <si>
    <t>Value</t>
  </si>
  <si>
    <t>Notes</t>
  </si>
  <si>
    <t>YOUR BUSINESS (yellow cells are editable)</t>
  </si>
  <si>
    <t>Projected annual turnover (Rs)</t>
  </si>
  <si>
    <t>Ravi Traders example: Rs.6 crore</t>
  </si>
  <si>
    <t>Stock (Rs)</t>
  </si>
  <si>
    <t>As per balance sheet / stock statement</t>
  </si>
  <si>
    <t>Trade receivables (Rs)</t>
  </si>
  <si>
    <t>Trade creditors (Rs)</t>
  </si>
  <si>
    <t>Deducted for paid stock / NWC</t>
  </si>
  <si>
    <t>Statutory dues (Rs)</t>
  </si>
  <si>
    <t>Other non-bank current liabilities</t>
  </si>
  <si>
    <t>Bank margin on stock</t>
  </si>
  <si>
    <t>From your sanction letter (bank policy)</t>
  </si>
  <si>
    <t>Bank margin on receivables</t>
  </si>
  <si>
    <t>SYSTEM 1: NAYAK TURNOVER METHOD (RBI guideline, MSE limits up to Rs.5 cr)</t>
  </si>
  <si>
    <t>Working capital requirement (25% of turnover)</t>
  </si>
  <si>
    <t>RBI: assessed at 25% of projected annual turnover</t>
  </si>
  <si>
    <t>Margin money you bring (5% of turnover)</t>
  </si>
  <si>
    <t>RBI: borrowers bring 5% of annual turnover as margin money</t>
  </si>
  <si>
    <t>Bank finance (20% of turnover)</t>
  </si>
  <si>
    <t>RBI: bank provides a minimum of 20% of turnover</t>
  </si>
  <si>
    <t>SYSTEM 2: MPBF METHOD II (committee convention: 25% of current assets)</t>
  </si>
  <si>
    <t>Total current assets (Rs)</t>
  </si>
  <si>
    <t>Stock + receivables</t>
  </si>
  <si>
    <t>Non-bank current liabilities (Rs)</t>
  </si>
  <si>
    <t>Creditors + statutory dues</t>
  </si>
  <si>
    <t>Required margin: 25% of current assets (Rs)</t>
  </si>
  <si>
    <t>Borrower keeps 25% of current assets from long-term funds</t>
  </si>
  <si>
    <t>MPBF: 75% of current assets minus non-bank CL (Rs)</t>
  </si>
  <si>
    <t>Maximum permissible bank finance; gives current ratio 1.33</t>
  </si>
  <si>
    <t>Sanctioned limit: lower of the two systems (Rs)</t>
  </si>
  <si>
    <t>Banks sanction the more conservative assessment</t>
  </si>
  <si>
    <t>SYSTEM 3: STOCK-STATEMENT MARGINS (monthly drawing power, bank policy)</t>
  </si>
  <si>
    <t>Eligible stock after margin (Rs)</t>
  </si>
  <si>
    <t>Stock less bank margin</t>
  </si>
  <si>
    <t>Eligible receivables after margin (Rs)</t>
  </si>
  <si>
    <t>Receivables less bank margin</t>
  </si>
  <si>
    <t>Drawing power (Rs)</t>
  </si>
  <si>
    <t>Sum of eligible security</t>
  </si>
  <si>
    <t>Drawable amount: DP capped at sanctioned limit (Rs)</t>
  </si>
  <si>
    <t>You can never draw more than the sanctioned limit</t>
  </si>
  <si>
    <t>NET WORKING CAPITAL VERIFICATION (margin must sit in your balance sheet)</t>
  </si>
  <si>
    <t>BALANCE SHEET (yellow cells are editable)</t>
  </si>
  <si>
    <t>Stock + receivables + other CA</t>
  </si>
  <si>
    <t>Current liabilities other than bank borrowings (Rs)</t>
  </si>
  <si>
    <t>Creditors, statutory dues, other non-bank CL</t>
  </si>
  <si>
    <t>For the Nayak margin test</t>
  </si>
  <si>
    <t>Stress-test NWC (Rs)</t>
  </si>
  <si>
    <t>What if promoters withdraw capital? Try your own number</t>
  </si>
  <si>
    <t>ACTUAL POSITION</t>
  </si>
  <si>
    <t>Actual net working capital (Rs)</t>
  </si>
  <si>
    <t>CA minus non-bank CL</t>
  </si>
  <si>
    <t>Nayak required margin: 5% of turnover (Rs)</t>
  </si>
  <si>
    <t>RBI Master Circular on Management of Advances</t>
  </si>
  <si>
    <t>Nayak verdict</t>
  </si>
  <si>
    <t>If actual NWC exceeds 5%, the bank funds only the gap</t>
  </si>
  <si>
    <t>MPBF II required margin: 25% of current assets (Rs)</t>
  </si>
  <si>
    <t>Committee convention; current ratio 1.33</t>
  </si>
  <si>
    <t>MPBF II verdict</t>
  </si>
  <si>
    <t>Shortfall cuts the MPBF by the exact gap</t>
  </si>
  <si>
    <t>Assessed MPBF before shortfall (Rs)</t>
  </si>
  <si>
    <t>75% of CA minus non-bank CL</t>
  </si>
  <si>
    <t>STRESS TEST: MARGIN SHORTFALL</t>
  </si>
  <si>
    <t>Shortfall vs MPBF II margin (Rs)</t>
  </si>
  <si>
    <t>Required 25% of CA minus stressed NWC</t>
  </si>
  <si>
    <t>MPBF after shortfall cut (Rs)</t>
  </si>
  <si>
    <t>The quiet cut: assessed limit falls by the shortfall</t>
  </si>
  <si>
    <t>Stress verdict</t>
  </si>
  <si>
    <t>This is how limits shrink without a rejection letter</t>
  </si>
  <si>
    <t>MACHINE-VERIFIED VALUES (article worked example, Rs)</t>
  </si>
  <si>
    <t>Formula</t>
  </si>
  <si>
    <t>Expected</t>
  </si>
  <si>
    <t>Verdict</t>
  </si>
  <si>
    <t>Nayak margin: 5% of Rs.6 cr turnover</t>
  </si>
  <si>
    <t>Nayak WC requirement: 25% of turnover</t>
  </si>
  <si>
    <t>Nayak bank finance: 20% of turnover</t>
  </si>
  <si>
    <t>MPBF: 75% of CA 300L minus non-bank CL 70L</t>
  </si>
  <si>
    <t>MPBF required margin: 25% of CA</t>
  </si>
  <si>
    <t>Actual NWC: CA 300L minus CL 70L</t>
  </si>
  <si>
    <t>Sanctioned: lower of 120L / 155L</t>
  </si>
  <si>
    <t>DP stock: 180L at 25% margin</t>
  </si>
  <si>
    <t>DP receivables: 120L at 25% margin</t>
  </si>
  <si>
    <t>Drawing power: 135L + 90L</t>
  </si>
  <si>
    <t>Drawable: DP 225L capped at 120L</t>
  </si>
  <si>
    <t>Stress: MPBF 155L minus shortfall 25L</t>
  </si>
  <si>
    <t>Cross-check: calc sheet Nayak margin</t>
  </si>
  <si>
    <t>Cross-check: calc sheet sanctioned limit</t>
  </si>
  <si>
    <t>Cross-check: NWC sheet stress MPBF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</si>
</sst>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.00%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B3C5D"/>
        <bgColor indexed="64"/>
      </patternFill>
    </fill>
    <fill>
      <patternFill patternType="solid">
        <fgColor rgb="FFD9EAF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4" borderId="0" xfId="0" applyFill="1" applyAlignment="1">
      <alignment vertical="top" wrapText="1"/>
    </xf>
    <xf numFmtId="164" fontId="0" fillId="5" borderId="0" xfId="0" applyNumberFormat="1" applyFill="1" applyAlignment="1">
      <alignment vertical="top"/>
    </xf>
    <xf numFmtId="0" fontId="3" fillId="0" borderId="0" xfId="0" applyFont="1" applyAlignment="1">
      <alignment wrapText="1"/>
    </xf>
    <xf numFmtId="165" fontId="0" fillId="5" borderId="0" xfId="0" applyNumberFormat="1" applyFill="1" applyAlignment="1">
      <alignment vertical="top"/>
    </xf>
    <xf numFmtId="164" fontId="0" fillId="6" borderId="0" xfId="0" applyNumberFormat="1" applyFill="1" applyAlignment="1">
      <alignment vertical="top"/>
    </xf>
    <xf numFmtId="164" fontId="2" fillId="6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/>
  </sheetViews>
  <sheetFormatPr defaultRowHeight="15"/>
  <cols>
    <col min="1" max="1" width="52.7109375" customWidth="1"/>
    <col min="2" max="2" width="24.7109375" customWidth="1"/>
    <col min="3" max="3" width="56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</row>
    <row r="3" spans="1:3">
      <c r="A3" s="3" t="s">
        <v>4</v>
      </c>
      <c r="B3" s="4">
        <v>60000000</v>
      </c>
      <c r="C3" s="5" t="s">
        <v>5</v>
      </c>
    </row>
    <row r="4" spans="1:3">
      <c r="A4" s="3" t="s">
        <v>6</v>
      </c>
      <c r="B4" s="4">
        <v>18000000</v>
      </c>
      <c r="C4" s="5" t="s">
        <v>7</v>
      </c>
    </row>
    <row r="5" spans="1:3">
      <c r="A5" s="3" t="s">
        <v>8</v>
      </c>
      <c r="B5" s="4">
        <v>12000000</v>
      </c>
      <c r="C5" s="5" t="s">
        <v>7</v>
      </c>
    </row>
    <row r="6" spans="1:3">
      <c r="A6" s="3" t="s">
        <v>9</v>
      </c>
      <c r="B6" s="4">
        <v>6000000</v>
      </c>
      <c r="C6" s="5" t="s">
        <v>10</v>
      </c>
    </row>
    <row r="7" spans="1:3">
      <c r="A7" s="3" t="s">
        <v>11</v>
      </c>
      <c r="B7" s="4">
        <v>1000000</v>
      </c>
      <c r="C7" s="5" t="s">
        <v>12</v>
      </c>
    </row>
    <row r="8" spans="1:3">
      <c r="A8" s="3" t="s">
        <v>13</v>
      </c>
      <c r="B8" s="6">
        <v>0.25</v>
      </c>
      <c r="C8" s="5" t="s">
        <v>14</v>
      </c>
    </row>
    <row r="9" spans="1:3">
      <c r="A9" s="3" t="s">
        <v>15</v>
      </c>
      <c r="B9" s="6">
        <v>0.25</v>
      </c>
      <c r="C9" s="5" t="s">
        <v>14</v>
      </c>
    </row>
    <row r="11" spans="1:3">
      <c r="A11" s="2" t="s">
        <v>16</v>
      </c>
    </row>
    <row r="12" spans="1:3">
      <c r="A12" s="3" t="s">
        <v>17</v>
      </c>
      <c r="B12" s="7">
        <f>B3*25%</f>
        <v>0</v>
      </c>
      <c r="C12" s="5" t="s">
        <v>18</v>
      </c>
    </row>
    <row r="13" spans="1:3">
      <c r="A13" s="3" t="s">
        <v>19</v>
      </c>
      <c r="B13" s="8">
        <f>B3*5%</f>
        <v>0</v>
      </c>
      <c r="C13" s="5" t="s">
        <v>20</v>
      </c>
    </row>
    <row r="14" spans="1:3">
      <c r="A14" s="3" t="s">
        <v>21</v>
      </c>
      <c r="B14" s="7">
        <f>B3*20%</f>
        <v>0</v>
      </c>
      <c r="C14" s="5" t="s">
        <v>22</v>
      </c>
    </row>
    <row r="16" spans="1:3">
      <c r="A16" s="2" t="s">
        <v>23</v>
      </c>
    </row>
    <row r="17" spans="1:3">
      <c r="A17" s="3" t="s">
        <v>24</v>
      </c>
      <c r="B17" s="7">
        <f>B4+B5</f>
        <v>0</v>
      </c>
      <c r="C17" s="5" t="s">
        <v>25</v>
      </c>
    </row>
    <row r="18" spans="1:3">
      <c r="A18" s="3" t="s">
        <v>26</v>
      </c>
      <c r="B18" s="7">
        <f>B6+B7</f>
        <v>0</v>
      </c>
      <c r="C18" s="5" t="s">
        <v>27</v>
      </c>
    </row>
    <row r="19" spans="1:3">
      <c r="A19" s="3" t="s">
        <v>28</v>
      </c>
      <c r="B19" s="8">
        <f>B17*25%</f>
        <v>0</v>
      </c>
      <c r="C19" s="5" t="s">
        <v>29</v>
      </c>
    </row>
    <row r="20" spans="1:3">
      <c r="A20" s="3" t="s">
        <v>30</v>
      </c>
      <c r="B20" s="7">
        <f>B17*75%-B18</f>
        <v>0</v>
      </c>
      <c r="C20" s="5" t="s">
        <v>31</v>
      </c>
    </row>
    <row r="21" spans="1:3">
      <c r="A21" s="3" t="s">
        <v>32</v>
      </c>
      <c r="B21" s="8">
        <f>MIN(B14,B20)</f>
        <v>0</v>
      </c>
      <c r="C21" s="5" t="s">
        <v>33</v>
      </c>
    </row>
    <row r="23" spans="1:3">
      <c r="A23" s="2" t="s">
        <v>34</v>
      </c>
    </row>
    <row r="24" spans="1:3">
      <c r="A24" s="3" t="s">
        <v>35</v>
      </c>
      <c r="B24" s="7">
        <f>B4*(1-B8)</f>
        <v>0</v>
      </c>
      <c r="C24" s="5" t="s">
        <v>36</v>
      </c>
    </row>
    <row r="25" spans="1:3">
      <c r="A25" s="3" t="s">
        <v>37</v>
      </c>
      <c r="B25" s="7">
        <f>B5*(1-B9)</f>
        <v>0</v>
      </c>
      <c r="C25" s="5" t="s">
        <v>38</v>
      </c>
    </row>
    <row r="26" spans="1:3">
      <c r="A26" s="3" t="s">
        <v>39</v>
      </c>
      <c r="B26" s="7">
        <f>B24+B25</f>
        <v>0</v>
      </c>
      <c r="C26" s="5" t="s">
        <v>40</v>
      </c>
    </row>
    <row r="27" spans="1:3">
      <c r="A27" s="3" t="s">
        <v>41</v>
      </c>
      <c r="B27" s="8">
        <f>MIN(B26,B21)</f>
        <v>0</v>
      </c>
      <c r="C27" s="5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52.7109375" customWidth="1"/>
    <col min="2" max="2" width="24.7109375" customWidth="1"/>
    <col min="3" max="3" width="56.7109375" customWidth="1"/>
  </cols>
  <sheetData>
    <row r="1" spans="1:3">
      <c r="A1" s="1" t="s">
        <v>43</v>
      </c>
      <c r="B1" s="1" t="s">
        <v>1</v>
      </c>
      <c r="C1" s="1" t="s">
        <v>2</v>
      </c>
    </row>
    <row r="2" spans="1:3">
      <c r="A2" s="2" t="s">
        <v>44</v>
      </c>
    </row>
    <row r="3" spans="1:3">
      <c r="A3" s="3" t="s">
        <v>24</v>
      </c>
      <c r="B3" s="4">
        <v>30000000</v>
      </c>
      <c r="C3" s="5" t="s">
        <v>45</v>
      </c>
    </row>
    <row r="4" spans="1:3">
      <c r="A4" s="3" t="s">
        <v>46</v>
      </c>
      <c r="B4" s="4">
        <v>7000000</v>
      </c>
      <c r="C4" s="5" t="s">
        <v>47</v>
      </c>
    </row>
    <row r="5" spans="1:3">
      <c r="A5" s="3" t="s">
        <v>4</v>
      </c>
      <c r="B5" s="4">
        <v>60000000</v>
      </c>
      <c r="C5" s="5" t="s">
        <v>48</v>
      </c>
    </row>
    <row r="6" spans="1:3">
      <c r="A6" s="3" t="s">
        <v>49</v>
      </c>
      <c r="B6" s="4">
        <v>5000000</v>
      </c>
      <c r="C6" s="5" t="s">
        <v>50</v>
      </c>
    </row>
    <row r="8" spans="1:3">
      <c r="A8" s="2" t="s">
        <v>51</v>
      </c>
    </row>
    <row r="9" spans="1:3">
      <c r="A9" s="3" t="s">
        <v>52</v>
      </c>
      <c r="B9" s="8">
        <f>B3-B4</f>
        <v>0</v>
      </c>
      <c r="C9" s="5" t="s">
        <v>53</v>
      </c>
    </row>
    <row r="10" spans="1:3">
      <c r="A10" s="3" t="s">
        <v>54</v>
      </c>
      <c r="B10" s="7">
        <f>B5*5%</f>
        <v>0</v>
      </c>
      <c r="C10" s="5" t="s">
        <v>55</v>
      </c>
    </row>
    <row r="11" spans="1:3">
      <c r="A11" s="3" t="s">
        <v>56</v>
      </c>
      <c r="B11" s="3">
        <f>IF(B9&gt;=B10,"PASS: actual NWC covers the 5% turnover margin","FLAG: margin shortfall under the turnover method")</f>
        <v>0</v>
      </c>
      <c r="C11" s="5" t="s">
        <v>57</v>
      </c>
    </row>
    <row r="12" spans="1:3">
      <c r="A12" s="3" t="s">
        <v>58</v>
      </c>
      <c r="B12" s="8">
        <f>B3*25%</f>
        <v>0</v>
      </c>
      <c r="C12" s="5" t="s">
        <v>59</v>
      </c>
    </row>
    <row r="13" spans="1:3">
      <c r="A13" s="3" t="s">
        <v>60</v>
      </c>
      <c r="B13" s="3">
        <f>IF(B9&gt;=B12,"PASS: actual NWC covers the 25% current-asset margin","FLAG: margin shortfall; assessed limit is cut by the gap")</f>
        <v>0</v>
      </c>
      <c r="C13" s="5" t="s">
        <v>61</v>
      </c>
    </row>
    <row r="14" spans="1:3">
      <c r="A14" s="3" t="s">
        <v>62</v>
      </c>
      <c r="B14" s="7">
        <f>B3*75%-B4</f>
        <v>0</v>
      </c>
      <c r="C14" s="5" t="s">
        <v>63</v>
      </c>
    </row>
    <row r="16" spans="1:3">
      <c r="A16" s="2" t="s">
        <v>64</v>
      </c>
    </row>
    <row r="17" spans="1:3">
      <c r="A17" s="3" t="s">
        <v>65</v>
      </c>
      <c r="B17" s="7">
        <f>MAX(0,B12-B6)</f>
        <v>0</v>
      </c>
      <c r="C17" s="5" t="s">
        <v>66</v>
      </c>
    </row>
    <row r="18" spans="1:3">
      <c r="A18" s="3" t="s">
        <v>67</v>
      </c>
      <c r="B18" s="8">
        <f>B14-B17</f>
        <v>0</v>
      </c>
      <c r="C18" s="5" t="s">
        <v>68</v>
      </c>
    </row>
    <row r="19" spans="1:3">
      <c r="A19" s="3" t="s">
        <v>69</v>
      </c>
      <c r="B19" s="3">
        <f>IF(B17&gt;0,"FLAG: at renewal the sanctioned limit would drop by the shortfall","PASS: no shortfall in this scenario")</f>
        <v>0</v>
      </c>
      <c r="C19" s="5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cols>
    <col min="1" max="1" width="56.7109375" customWidth="1"/>
    <col min="2" max="3" width="20.7109375" customWidth="1"/>
    <col min="4" max="4" width="12.7109375" customWidth="1"/>
  </cols>
  <sheetData>
    <row r="1" spans="1:4">
      <c r="A1" s="1" t="s">
        <v>71</v>
      </c>
      <c r="B1" s="1" t="s">
        <v>72</v>
      </c>
      <c r="C1" s="1" t="s">
        <v>73</v>
      </c>
      <c r="D1" s="1" t="s">
        <v>74</v>
      </c>
    </row>
    <row r="2" spans="1:4">
      <c r="A2" s="3" t="s">
        <v>75</v>
      </c>
      <c r="B2" s="7">
        <f>60000000*5%</f>
        <v>0</v>
      </c>
      <c r="C2" s="7">
        <v>3000000</v>
      </c>
      <c r="D2">
        <f>IF(ABS(B2-C2)&lt;=1,"PASS","FAIL")</f>
        <v>0</v>
      </c>
    </row>
    <row r="3" spans="1:4">
      <c r="A3" s="3" t="s">
        <v>76</v>
      </c>
      <c r="B3" s="7">
        <f>60000000*25%</f>
        <v>0</v>
      </c>
      <c r="C3" s="7">
        <v>15000000</v>
      </c>
      <c r="D3">
        <f>IF(ABS(B3-C3)&lt;=1,"PASS","FAIL")</f>
        <v>0</v>
      </c>
    </row>
    <row r="4" spans="1:4">
      <c r="A4" s="3" t="s">
        <v>77</v>
      </c>
      <c r="B4" s="7">
        <f>60000000*20%</f>
        <v>0</v>
      </c>
      <c r="C4" s="7">
        <v>12000000</v>
      </c>
      <c r="D4">
        <f>IF(ABS(B4-C4)&lt;=1,"PASS","FAIL")</f>
        <v>0</v>
      </c>
    </row>
    <row r="5" spans="1:4">
      <c r="A5" s="3" t="s">
        <v>78</v>
      </c>
      <c r="B5" s="7">
        <f>30000000*75%-7000000</f>
        <v>0</v>
      </c>
      <c r="C5" s="7">
        <v>15500000</v>
      </c>
      <c r="D5">
        <f>IF(ABS(B5-C5)&lt;=1,"PASS","FAIL")</f>
        <v>0</v>
      </c>
    </row>
    <row r="6" spans="1:4">
      <c r="A6" s="3" t="s">
        <v>79</v>
      </c>
      <c r="B6" s="7">
        <f>30000000*25%</f>
        <v>0</v>
      </c>
      <c r="C6" s="7">
        <v>7500000</v>
      </c>
      <c r="D6">
        <f>IF(ABS(B6-C6)&lt;=1,"PASS","FAIL")</f>
        <v>0</v>
      </c>
    </row>
    <row r="7" spans="1:4">
      <c r="A7" s="3" t="s">
        <v>80</v>
      </c>
      <c r="B7" s="7">
        <f>30000000-7000000</f>
        <v>0</v>
      </c>
      <c r="C7" s="7">
        <v>23000000</v>
      </c>
      <c r="D7">
        <f>IF(ABS(B7-C7)&lt;=1,"PASS","FAIL")</f>
        <v>0</v>
      </c>
    </row>
    <row r="8" spans="1:4">
      <c r="A8" s="3" t="s">
        <v>81</v>
      </c>
      <c r="B8" s="7">
        <f>MIN(12000000,15500000)</f>
        <v>0</v>
      </c>
      <c r="C8" s="7">
        <v>12000000</v>
      </c>
      <c r="D8">
        <f>IF(ABS(B8-C8)&lt;=1,"PASS","FAIL")</f>
        <v>0</v>
      </c>
    </row>
    <row r="9" spans="1:4">
      <c r="A9" s="3" t="s">
        <v>82</v>
      </c>
      <c r="B9" s="7">
        <f>18000000*(1-25%)</f>
        <v>0</v>
      </c>
      <c r="C9" s="7">
        <v>13500000</v>
      </c>
      <c r="D9">
        <f>IF(ABS(B9-C9)&lt;=1,"PASS","FAIL")</f>
        <v>0</v>
      </c>
    </row>
    <row r="10" spans="1:4">
      <c r="A10" s="3" t="s">
        <v>83</v>
      </c>
      <c r="B10" s="7">
        <f>12000000*(1-25%)</f>
        <v>0</v>
      </c>
      <c r="C10" s="7">
        <v>9000000</v>
      </c>
      <c r="D10">
        <f>IF(ABS(B10-C10)&lt;=1,"PASS","FAIL")</f>
        <v>0</v>
      </c>
    </row>
    <row r="11" spans="1:4">
      <c r="A11" s="3" t="s">
        <v>84</v>
      </c>
      <c r="B11" s="7">
        <f>13500000+9000000</f>
        <v>0</v>
      </c>
      <c r="C11" s="7">
        <v>22500000</v>
      </c>
      <c r="D11">
        <f>IF(ABS(B11-C11)&lt;=1,"PASS","FAIL")</f>
        <v>0</v>
      </c>
    </row>
    <row r="12" spans="1:4">
      <c r="A12" s="3" t="s">
        <v>85</v>
      </c>
      <c r="B12" s="7">
        <f>MIN(22500000,12000000)</f>
        <v>0</v>
      </c>
      <c r="C12" s="7">
        <v>12000000</v>
      </c>
      <c r="D12">
        <f>IF(ABS(B12-C12)&lt;=1,"PASS","FAIL")</f>
        <v>0</v>
      </c>
    </row>
    <row r="13" spans="1:4">
      <c r="A13" s="3" t="s">
        <v>86</v>
      </c>
      <c r="B13" s="7">
        <f>15500000-2500000</f>
        <v>0</v>
      </c>
      <c r="C13" s="7">
        <v>13000000</v>
      </c>
      <c r="D13">
        <f>IF(ABS(B13-C13)&lt;=1,"PASS","FAIL")</f>
        <v>0</v>
      </c>
    </row>
    <row r="14" spans="1:4">
      <c r="A14" s="3" t="s">
        <v>87</v>
      </c>
      <c r="B14" s="7">
        <f>'Margin Calculator'!B13</f>
        <v>0</v>
      </c>
      <c r="C14" s="7">
        <v>3000000</v>
      </c>
      <c r="D14">
        <f>IF(ABS(B14-C14)&lt;=1,"PASS","FAIL")</f>
        <v>0</v>
      </c>
    </row>
    <row r="15" spans="1:4">
      <c r="A15" s="3" t="s">
        <v>88</v>
      </c>
      <c r="B15" s="7">
        <f>'Margin Calculator'!B21</f>
        <v>0</v>
      </c>
      <c r="C15" s="7">
        <v>12000000</v>
      </c>
      <c r="D15">
        <f>IF(ABS(B15-C15)&lt;=1,"PASS","FAIL")</f>
        <v>0</v>
      </c>
    </row>
    <row r="16" spans="1:4">
      <c r="A16" s="3" t="s">
        <v>89</v>
      </c>
      <c r="B16" s="7">
        <f>'NWC Verification'!B18</f>
        <v>0</v>
      </c>
      <c r="C16" s="7">
        <v>13000000</v>
      </c>
      <c r="D16">
        <f>IF(ABS(B16-C16)&lt;=1,"PASS","FAIL")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Margin Calculator</vt:lpstr>
      <vt:lpstr>NWC Verification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2026-10-18T11:34:39Z</dcterms:created>
  <dcterms:modified xsi:type="dcterms:W3CDTF">2026-10-18T11:34:39Z</dcterms:modified>
</cp:coreProperties>
</file>