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SCR Example" sheetId="1" state="visible" r:id="rId1"/>
    <sheet xmlns:r="http://schemas.openxmlformats.org/officeDocument/2006/relationships" name="Ratio Gates" sheetId="2" state="visible" r:id="rId2"/>
    <sheet xmlns:r="http://schemas.openxmlformats.org/officeDocument/2006/relationships" name="Sensitivity" sheetId="3" state="visible" r:id="rId3"/>
    <sheet xmlns:r="http://schemas.openxmlformats.org/officeDocument/2006/relationships" name="Check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i val="1"/>
      <color rgb="00666666"/>
      <sz val="10"/>
    </font>
    <font>
      <b val="1"/>
      <sz val="11"/>
    </font>
  </fonts>
  <fills count="5">
    <fill>
      <patternFill/>
    </fill>
    <fill>
      <patternFill patternType="gray125"/>
    </fill>
    <fill>
      <patternFill patternType="solid">
        <fgColor rgb="FFFFE699"/>
      </patternFill>
    </fill>
    <fill>
      <patternFill patternType="solid">
        <fgColor rgb="FFD9EAD3"/>
      </patternFill>
    </fill>
    <fill>
      <patternFill patternType="solid">
        <fgColor rgb="FF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2" fontId="0" fillId="3" borderId="0" pivotButton="0" quotePrefix="0" xfId="0"/>
    <xf numFmtId="0" fontId="3" fillId="4" borderId="0" pivotButton="0" quotePrefix="0" xfId="0"/>
    <xf numFmtId="2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>
      <c r="A1" s="1" t="inlineStr">
        <is>
          <t>DSCR worked example: Rs 1.00 cr term loan, 5 years, 11.5%</t>
        </is>
      </c>
    </row>
    <row r="2">
      <c r="A2" s="2" t="inlineStr">
        <is>
          <t>Yellow cells are the example inputs (change them). Green cells are formulas.</t>
        </is>
      </c>
    </row>
    <row r="3">
      <c r="A3" s="2" t="inlineStr">
        <is>
          <t>All figures in Rs lakh. DSCR = (PBDIT - Tax) / (Principal + Interest), Indian banking variant.</t>
        </is>
      </c>
    </row>
    <row r="5">
      <c r="A5" s="3" t="inlineStr">
        <is>
          <t>Loan amount (Rs lakh)</t>
        </is>
      </c>
      <c r="B5" s="4" t="n">
        <v>100</v>
      </c>
    </row>
    <row r="6">
      <c r="A6" s="3" t="inlineStr">
        <is>
          <t>Interest rate % p.a.</t>
        </is>
      </c>
      <c r="B6" s="4" t="n">
        <v>11.5</v>
      </c>
    </row>
    <row r="7">
      <c r="A7" s="3" t="inlineStr">
        <is>
          <t>Tenor (years)</t>
        </is>
      </c>
      <c r="B7" s="4" t="n">
        <v>5</v>
      </c>
    </row>
    <row r="8">
      <c r="A8" s="3" t="inlineStr">
        <is>
          <t>Depreciation per year (Rs lakh)</t>
        </is>
      </c>
      <c r="B8" s="4" t="n">
        <v>15</v>
      </c>
    </row>
    <row r="9">
      <c r="A9" s="3" t="inlineStr">
        <is>
          <t>Tax rate %</t>
        </is>
      </c>
      <c r="B9" s="4" t="n">
        <v>25</v>
      </c>
    </row>
    <row r="10">
      <c r="A10" s="3" t="inlineStr">
        <is>
          <t>Project cost (Rs lakh)</t>
        </is>
      </c>
      <c r="B10" s="4" t="n">
        <v>150</v>
      </c>
    </row>
    <row r="11">
      <c r="A11" s="3" t="inlineStr">
        <is>
          <t>Promoter contribution (Rs lakh)</t>
        </is>
      </c>
      <c r="B11" s="4" t="n">
        <v>50</v>
      </c>
    </row>
    <row r="13">
      <c r="A13" t="inlineStr">
        <is>
          <t>Principal repayment per year</t>
        </is>
      </c>
      <c r="B13" s="5">
        <f>B5/B7</f>
        <v/>
      </c>
    </row>
    <row r="14">
      <c r="A14" t="inlineStr">
        <is>
          <t>Debt : Equity</t>
        </is>
      </c>
      <c r="B14" s="5">
        <f>(B5)/(B11)</f>
        <v/>
      </c>
    </row>
    <row r="15">
      <c r="A15" t="inlineStr">
        <is>
          <t>Promoter contribution % of project cost</t>
        </is>
      </c>
      <c r="B15" s="5">
        <f>B11/B10*100</f>
        <v/>
      </c>
    </row>
    <row r="17">
      <c r="A17" s="6" t="inlineStr">
        <is>
          <t>Year</t>
        </is>
      </c>
      <c r="B17" s="6" t="inlineStr">
        <is>
          <t>PBDIT</t>
        </is>
      </c>
      <c r="C17" s="6" t="inlineStr">
        <is>
          <t>Opening balance</t>
        </is>
      </c>
      <c r="D17" s="6" t="inlineStr">
        <is>
          <t>Interest</t>
        </is>
      </c>
      <c r="E17" s="6" t="inlineStr">
        <is>
          <t>Principal</t>
        </is>
      </c>
      <c r="F17" s="6" t="inlineStr">
        <is>
          <t>PBT</t>
        </is>
      </c>
      <c r="G17" s="6" t="inlineStr">
        <is>
          <t>Tax</t>
        </is>
      </c>
      <c r="H17" s="6" t="inlineStr">
        <is>
          <t>DSCR</t>
        </is>
      </c>
    </row>
    <row r="18">
      <c r="A18" t="n">
        <v>1</v>
      </c>
      <c r="B18" s="4" t="n">
        <v>40</v>
      </c>
      <c r="C18" s="5">
        <f>$B$5</f>
        <v/>
      </c>
      <c r="D18" s="5">
        <f>C18*$B$6/100</f>
        <v/>
      </c>
      <c r="E18" s="5">
        <f>$B$13</f>
        <v/>
      </c>
      <c r="F18" s="5">
        <f>B18-$B$8-D18</f>
        <v/>
      </c>
      <c r="G18" s="5">
        <f>MAX(F18,0)*$B$9/100</f>
        <v/>
      </c>
      <c r="H18" s="5">
        <f>(B18-G18)/(E18+D18)</f>
        <v/>
      </c>
    </row>
    <row r="19">
      <c r="A19" t="n">
        <v>2</v>
      </c>
      <c r="B19" s="4" t="n">
        <v>44</v>
      </c>
      <c r="C19" s="5">
        <f>C18-$B$13</f>
        <v/>
      </c>
      <c r="D19" s="5">
        <f>C19*$B$6/100</f>
        <v/>
      </c>
      <c r="E19" s="5">
        <f>$B$13</f>
        <v/>
      </c>
      <c r="F19" s="5">
        <f>B19-$B$8-D19</f>
        <v/>
      </c>
      <c r="G19" s="5">
        <f>MAX(F19,0)*$B$9/100</f>
        <v/>
      </c>
      <c r="H19" s="5">
        <f>(B19-G19)/(E19+D19)</f>
        <v/>
      </c>
    </row>
    <row r="20">
      <c r="A20" t="n">
        <v>3</v>
      </c>
      <c r="B20" s="4" t="n">
        <v>47</v>
      </c>
      <c r="C20" s="5">
        <f>C19-$B$13</f>
        <v/>
      </c>
      <c r="D20" s="5">
        <f>C20*$B$6/100</f>
        <v/>
      </c>
      <c r="E20" s="5">
        <f>$B$13</f>
        <v/>
      </c>
      <c r="F20" s="5">
        <f>B20-$B$8-D20</f>
        <v/>
      </c>
      <c r="G20" s="5">
        <f>MAX(F20,0)*$B$9/100</f>
        <v/>
      </c>
      <c r="H20" s="5">
        <f>(B20-G20)/(E20+D20)</f>
        <v/>
      </c>
    </row>
    <row r="21">
      <c r="A21" t="n">
        <v>4</v>
      </c>
      <c r="B21" s="4" t="n">
        <v>50</v>
      </c>
      <c r="C21" s="5">
        <f>C20-$B$13</f>
        <v/>
      </c>
      <c r="D21" s="5">
        <f>C21*$B$6/100</f>
        <v/>
      </c>
      <c r="E21" s="5">
        <f>$B$13</f>
        <v/>
      </c>
      <c r="F21" s="5">
        <f>B21-$B$8-D21</f>
        <v/>
      </c>
      <c r="G21" s="5">
        <f>MAX(F21,0)*$B$9/100</f>
        <v/>
      </c>
      <c r="H21" s="5">
        <f>(B21-G21)/(E21+D21)</f>
        <v/>
      </c>
    </row>
    <row r="22">
      <c r="A22" t="n">
        <v>5</v>
      </c>
      <c r="B22" s="4" t="n">
        <v>52</v>
      </c>
      <c r="C22" s="5">
        <f>C21-$B$13</f>
        <v/>
      </c>
      <c r="D22" s="5">
        <f>C22*$B$6/100</f>
        <v/>
      </c>
      <c r="E22" s="5">
        <f>$B$13</f>
        <v/>
      </c>
      <c r="F22" s="5">
        <f>B22-$B$8-D22</f>
        <v/>
      </c>
      <c r="G22" s="5">
        <f>MAX(F22,0)*$B$9/100</f>
        <v/>
      </c>
      <c r="H22" s="5">
        <f>(B22-G22)/(E22+D22)</f>
        <v/>
      </c>
    </row>
    <row r="23">
      <c r="A23" s="3" t="inlineStr">
        <is>
          <t>Average DSCR</t>
        </is>
      </c>
      <c r="H23" s="5">
        <f>AVERAGE(H18:H22)</f>
        <v/>
      </c>
    </row>
    <row r="24">
      <c r="A24" s="3" t="inlineStr">
        <is>
          <t>Minimum DSCR (weakest year)</t>
        </is>
      </c>
      <c r="H24" s="5">
        <f>MIN(H18:H22)</f>
        <v/>
      </c>
    </row>
    <row r="26">
      <c r="A26" s="2" t="inlineStr">
        <is>
          <t>Reading: average above 1.50 is the bank convention comfort zone; the weakest year must stay above 1.0 and ideally above 1.15.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44" customWidth="1" min="3" max="3"/>
    <col width="14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>
      <c r="A1" s="1" t="inlineStr">
        <is>
          <t>Ratio gates: your file against the convention bands</t>
        </is>
      </c>
    </row>
    <row r="2">
      <c r="A2" s="2" t="inlineStr">
        <is>
          <t>Yellow cells are blank for your own numbers. Read the Result column the way a credit officer would.</t>
        </is>
      </c>
    </row>
    <row r="3">
      <c r="A3" s="2" t="inlineStr">
        <is>
          <t>Bands are bank-policy conventions or scheme norms, not RBI law. See the article for the source layer of each.</t>
        </is>
      </c>
    </row>
    <row r="4">
      <c r="A4" s="6" t="inlineStr">
        <is>
          <t>Ratio</t>
        </is>
      </c>
      <c r="B4" s="6" t="inlineStr">
        <is>
          <t>Your figure</t>
        </is>
      </c>
      <c r="C4" s="6" t="inlineStr">
        <is>
          <t>Convention band</t>
        </is>
      </c>
      <c r="D4" s="6" t="inlineStr">
        <is>
          <t>Result</t>
        </is>
      </c>
    </row>
    <row r="5">
      <c r="A5" t="inlineStr">
        <is>
          <t>Average DSCR</t>
        </is>
      </c>
      <c r="B5" s="7"/>
      <c r="C5" s="2" t="inlineStr">
        <is>
          <t>&gt;= 1.50 (bank convention; ~2.0 at large PSU banks)</t>
        </is>
      </c>
      <c r="D5" s="8">
        <f>IF(ISBLANK(B5),"",(IF(B5&gt;=1.5,"PASS","FLAG")))</f>
        <v/>
      </c>
    </row>
    <row r="6">
      <c r="A6" t="inlineStr">
        <is>
          <t>Minimum year DSCR</t>
        </is>
      </c>
      <c r="B6" s="7"/>
      <c r="C6" s="2" t="inlineStr">
        <is>
          <t>&gt;= 1.15 in the weakest year</t>
        </is>
      </c>
      <c r="D6" s="8">
        <f>IF(ISBLANK(B6),"",(IF(B6&gt;=1.15,"PASS","FLAG")))</f>
        <v/>
      </c>
    </row>
    <row r="7">
      <c r="A7" t="inlineStr">
        <is>
          <t>Interest coverage ratio</t>
        </is>
      </c>
      <c r="B7" s="7"/>
      <c r="C7" s="2" t="inlineStr">
        <is>
          <t>&gt;= 1.50 comfortable</t>
        </is>
      </c>
      <c r="D7" s="8">
        <f>IF(ISBLANK(B7),"",(IF(B7&gt;=1.5,"PASS","FLAG")))</f>
        <v/>
      </c>
    </row>
    <row r="8">
      <c r="A8" t="inlineStr">
        <is>
          <t>Current ratio</t>
        </is>
      </c>
      <c r="B8" s="7"/>
      <c r="C8" s="2" t="inlineStr">
        <is>
          <t>&gt;= 1.33 standard; 1.20-1.25 ok for MSMEs</t>
        </is>
      </c>
      <c r="D8" s="8">
        <f>IF(ISBLANK(B8),"",(IF(B8&gt;=1.2,"PASS","FLAG")))</f>
        <v/>
      </c>
    </row>
    <row r="9">
      <c r="A9" t="inlineStr">
        <is>
          <t>TOL / Tangible net worth</t>
        </is>
      </c>
      <c r="B9" s="7"/>
      <c r="C9" s="2" t="inlineStr">
        <is>
          <t>&lt;= 2.0 (3.0 for SMEs)</t>
        </is>
      </c>
      <c r="D9" s="8">
        <f>IF(ISBLANK(B9),"",(IF(B9&lt;=2,"PASS","FLAG")))</f>
        <v/>
      </c>
    </row>
    <row r="10">
      <c r="A10" t="inlineStr">
        <is>
          <t>Asset coverage ratio</t>
        </is>
      </c>
      <c r="B10" s="7"/>
      <c r="C10" s="2" t="inlineStr">
        <is>
          <t>&gt;= 1.25</t>
        </is>
      </c>
      <c r="D10" s="8">
        <f>IF(ISBLANK(B10),"",(IF(B10&gt;=1.25,"PASS","FLAG")))</f>
        <v/>
      </c>
    </row>
    <row r="11">
      <c r="A11" t="inlineStr">
        <is>
          <t>Promoter contribution %</t>
        </is>
      </c>
      <c r="B11" s="7"/>
      <c r="C11" s="2" t="inlineStr">
        <is>
          <t>&gt;= 25% of project cost</t>
        </is>
      </c>
      <c r="D11" s="8">
        <f>IF(ISBLANK(B11),"",(IF(B11&gt;=25,"PASS","FLAG")))</f>
        <v/>
      </c>
    </row>
    <row r="13">
      <c r="A13" s="3" t="inlineStr">
        <is>
          <t>Flags to clear before you apply:</t>
        </is>
      </c>
      <c r="D13" s="8">
        <f>COUNTIF(D5:D11,"FLAG")</f>
        <v/>
      </c>
    </row>
    <row r="14">
      <c r="A14" s="2" t="inlineStr">
        <is>
          <t>A FLAG is not a rejection. It is a question the officer will ask; walk in with the answer.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44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>
      <c r="A1" s="1" t="inlineStr">
        <is>
          <t>Sensitivity: what a PBDIT miss does to DSCR</t>
        </is>
      </c>
    </row>
    <row r="2">
      <c r="A2" s="2" t="inlineStr">
        <is>
          <t>Shocks apply to every year of the example on the DSCR Example sheet. All cells are formulas.</t>
        </is>
      </c>
    </row>
    <row r="3">
      <c r="A3" s="2" t="inlineStr">
        <is>
          <t>Banks run exactly this test. A 10% miss in Year 1 should not push the weakest year below 1.0.</t>
        </is>
      </c>
    </row>
    <row r="4">
      <c r="A4" s="6" t="inlineStr">
        <is>
          <t>PBDIT scenario</t>
        </is>
      </c>
      <c r="B4" s="6" t="inlineStr">
        <is>
          <t>Year-1 DSCR</t>
        </is>
      </c>
      <c r="C4" s="6" t="inlineStr">
        <is>
          <t>Average DSCR</t>
        </is>
      </c>
      <c r="D4" s="6" t="inlineStr">
        <is>
          <t>Reading</t>
        </is>
      </c>
    </row>
    <row r="5">
      <c r="A5" t="inlineStr">
        <is>
          <t>PBDIT -20%</t>
        </is>
      </c>
      <c r="B5" s="5">
        <f>('DSCR Example'!B18*0.8-MAX('DSCR Example'!B18*0.8-'DSCR Example'!$B$8-'DSCR Example'!D18,0)*'DSCR Example'!$B$9/100)/('DSCR Example'!E18+'DSCR Example'!D18)</f>
        <v/>
      </c>
      <c r="C5" s="5">
        <f>AVERAGE(('DSCR Example'!B18*0.8-MAX('DSCR Example'!B18*0.8-'DSCR Example'!$B$8-'DSCR Example'!D18,0)*'DSCR Example'!$B$9/100)/('DSCR Example'!E18+'DSCR Example'!D18),('DSCR Example'!B19*0.8-MAX('DSCR Example'!B19*0.8-'DSCR Example'!$B$8-'DSCR Example'!D19,0)*'DSCR Example'!$B$9/100)/('DSCR Example'!E19+'DSCR Example'!D19),('DSCR Example'!B20*0.8-MAX('DSCR Example'!B20*0.8-'DSCR Example'!$B$8-'DSCR Example'!D20,0)*'DSCR Example'!$B$9/100)/('DSCR Example'!E20+'DSCR Example'!D20),('DSCR Example'!B21*0.8-MAX('DSCR Example'!B21*0.8-'DSCR Example'!$B$8-'DSCR Example'!D21,0)*'DSCR Example'!$B$9/100)/('DSCR Example'!E21+'DSCR Example'!D21),('DSCR Example'!B22*0.8-MAX('DSCR Example'!B22*0.8-'DSCR Example'!$B$8-'DSCR Example'!D22,0)*'DSCR Example'!$B$9/100)/('DSCR Example'!E22+'DSCR Example'!D22))</f>
        <v/>
      </c>
      <c r="D5" s="2" t="inlineStr">
        <is>
          <t>Weak year likely below 1.0. Restructure the tenor or the margin.</t>
        </is>
      </c>
    </row>
    <row r="6">
      <c r="A6" t="inlineStr">
        <is>
          <t>PBDIT -10%</t>
        </is>
      </c>
      <c r="B6" s="5">
        <f>('DSCR Example'!B18*0.9-MAX('DSCR Example'!B18*0.9-'DSCR Example'!$B$8-'DSCR Example'!D18,0)*'DSCR Example'!$B$9/100)/('DSCR Example'!E18+'DSCR Example'!D18)</f>
        <v/>
      </c>
      <c r="C6" s="5">
        <f>AVERAGE(('DSCR Example'!B18*0.9-MAX('DSCR Example'!B18*0.9-'DSCR Example'!$B$8-'DSCR Example'!D18,0)*'DSCR Example'!$B$9/100)/('DSCR Example'!E18+'DSCR Example'!D18),('DSCR Example'!B19*0.9-MAX('DSCR Example'!B19*0.9-'DSCR Example'!$B$8-'DSCR Example'!D19,0)*'DSCR Example'!$B$9/100)/('DSCR Example'!E19+'DSCR Example'!D19),('DSCR Example'!B20*0.9-MAX('DSCR Example'!B20*0.9-'DSCR Example'!$B$8-'DSCR Example'!D20,0)*'DSCR Example'!$B$9/100)/('DSCR Example'!E20+'DSCR Example'!D20),('DSCR Example'!B21*0.9-MAX('DSCR Example'!B21*0.9-'DSCR Example'!$B$8-'DSCR Example'!D21,0)*'DSCR Example'!$B$9/100)/('DSCR Example'!E21+'DSCR Example'!D21),('DSCR Example'!B22*0.9-MAX('DSCR Example'!B22*0.9-'DSCR Example'!$B$8-'DSCR Example'!D22,0)*'DSCR Example'!$B$9/100)/('DSCR Example'!E22+'DSCR Example'!D22))</f>
        <v/>
      </c>
      <c r="D6" s="2" t="inlineStr">
        <is>
          <t>Year 1 near 1.07 in the example. Tight but defensible with structuring.</t>
        </is>
      </c>
    </row>
    <row r="7">
      <c r="A7" t="inlineStr">
        <is>
          <t>Base case</t>
        </is>
      </c>
      <c r="B7" s="5">
        <f>('DSCR Example'!B18*1.0-MAX('DSCR Example'!B18*1.0-'DSCR Example'!$B$8-'DSCR Example'!D18,0)*'DSCR Example'!$B$9/100)/('DSCR Example'!E18+'DSCR Example'!D18)</f>
        <v/>
      </c>
      <c r="C7" s="5">
        <f>AVERAGE(('DSCR Example'!B18*1.0-MAX('DSCR Example'!B18*1.0-'DSCR Example'!$B$8-'DSCR Example'!D18,0)*'DSCR Example'!$B$9/100)/('DSCR Example'!E18+'DSCR Example'!D18),('DSCR Example'!B19*1.0-MAX('DSCR Example'!B19*1.0-'DSCR Example'!$B$8-'DSCR Example'!D19,0)*'DSCR Example'!$B$9/100)/('DSCR Example'!E19+'DSCR Example'!D19),('DSCR Example'!B20*1.0-MAX('DSCR Example'!B20*1.0-'DSCR Example'!$B$8-'DSCR Example'!D20,0)*'DSCR Example'!$B$9/100)/('DSCR Example'!E20+'DSCR Example'!D20),('DSCR Example'!B21*1.0-MAX('DSCR Example'!B21*1.0-'DSCR Example'!$B$8-'DSCR Example'!D21,0)*'DSCR Example'!$B$9/100)/('DSCR Example'!E21+'DSCR Example'!D21),('DSCR Example'!B22*1.0-MAX('DSCR Example'!B22*1.0-'DSCR Example'!$B$8-'DSCR Example'!D22,0)*'DSCR Example'!$B$9/100)/('DSCR Example'!E22+'DSCR Example'!D22))</f>
        <v/>
      </c>
      <c r="D7" s="2" t="inlineStr">
        <is>
          <t>The article's example: avg 1.54, min 1.16.</t>
        </is>
      </c>
    </row>
    <row r="8">
      <c r="A8" t="inlineStr">
        <is>
          <t>PBDIT +10%</t>
        </is>
      </c>
      <c r="B8" s="5">
        <f>('DSCR Example'!B18*1.1-MAX('DSCR Example'!B18*1.1-'DSCR Example'!$B$8-'DSCR Example'!D18,0)*'DSCR Example'!$B$9/100)/('DSCR Example'!E18+'DSCR Example'!D18)</f>
        <v/>
      </c>
      <c r="C8" s="5">
        <f>AVERAGE(('DSCR Example'!B18*1.1-MAX('DSCR Example'!B18*1.1-'DSCR Example'!$B$8-'DSCR Example'!D18,0)*'DSCR Example'!$B$9/100)/('DSCR Example'!E18+'DSCR Example'!D18),('DSCR Example'!B19*1.1-MAX('DSCR Example'!B19*1.1-'DSCR Example'!$B$8-'DSCR Example'!D19,0)*'DSCR Example'!$B$9/100)/('DSCR Example'!E19+'DSCR Example'!D19),('DSCR Example'!B20*1.1-MAX('DSCR Example'!B20*1.1-'DSCR Example'!$B$8-'DSCR Example'!D20,0)*'DSCR Example'!$B$9/100)/('DSCR Example'!E20+'DSCR Example'!D20),('DSCR Example'!B21*1.1-MAX('DSCR Example'!B21*1.1-'DSCR Example'!$B$8-'DSCR Example'!D21,0)*'DSCR Example'!$B$9/100)/('DSCR Example'!E21+'DSCR Example'!D21),('DSCR Example'!B22*1.1-MAX('DSCR Example'!B22*1.1-'DSCR Example'!$B$8-'DSCR Example'!D22,0)*'DSCR Example'!$B$9/100)/('DSCR Example'!E22+'DSCR Example'!D22))</f>
        <v/>
      </c>
      <c r="D8" s="2" t="inlineStr">
        <is>
          <t>Comfortable. This is the buffer a conservative bank wants to see.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56"/>
  <sheetViews>
    <sheetView workbookViewId="0">
      <selection activeCell="A1" sqref="A1"/>
    </sheetView>
  </sheetViews>
  <sheetFormatPr baseColWidth="8" defaultRowHeight="15"/>
  <cols>
    <col width="30" customWidth="1" min="1" max="1"/>
    <col width="52" customWidth="1" min="2" max="2"/>
    <col width="52" customWidth="1" min="3" max="3"/>
    <col width="12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>
      <c r="A1" s="1" t="inlineStr">
        <is>
          <t>Self-verification: every computed cell re-derived</t>
        </is>
      </c>
    </row>
    <row r="2">
      <c r="A2" s="2" t="inlineStr">
        <is>
          <t>Each green cell on sheets 1-3 is re-derived here in plain text and matched. A MATCH means the shipped formula is correct.</t>
        </is>
      </c>
    </row>
    <row r="3">
      <c r="A3" s="2" t="inlineStr">
        <is>
          <t>Plus reconciliation rules the way a credit officer would run them.</t>
        </is>
      </c>
    </row>
    <row r="4">
      <c r="A4" s="6" t="inlineStr">
        <is>
          <t>Cell</t>
        </is>
      </c>
      <c r="B4" s="6" t="inlineStr">
        <is>
          <t>Plain-text re-derivation</t>
        </is>
      </c>
      <c r="C4" s="6" t="inlineStr">
        <is>
          <t>MATCH formula</t>
        </is>
      </c>
      <c r="D4" s="6" t="inlineStr">
        <is>
          <t>Verdict</t>
        </is>
      </c>
    </row>
    <row r="5">
      <c r="A5" t="inlineStr">
        <is>
          <t>DSCR Example!B13</t>
        </is>
      </c>
      <c r="B5" s="2">
        <f>B5/B7</f>
        <v/>
      </c>
      <c r="C5">
        <f>ABS('DSCR Example'!B13-(=B5/B7))&lt;0.0001</f>
        <v/>
      </c>
      <c r="D5" s="8">
        <f>IF(C5=TRUE,"MATCH","MISMATCH")</f>
        <v/>
      </c>
    </row>
    <row r="6">
      <c r="A6" t="inlineStr">
        <is>
          <t>DSCR Example!B14</t>
        </is>
      </c>
      <c r="B6" s="2">
        <f>(B5)/(B11)</f>
        <v/>
      </c>
      <c r="C6">
        <f>ABS('DSCR Example'!B14-(=(B5)/(B11)))&lt;0.0001</f>
        <v/>
      </c>
      <c r="D6" s="8">
        <f>IF(C6=TRUE,"MATCH","MISMATCH")</f>
        <v/>
      </c>
    </row>
    <row r="7">
      <c r="A7" t="inlineStr">
        <is>
          <t>DSCR Example!B15</t>
        </is>
      </c>
      <c r="B7" s="2">
        <f>B11/B10*100</f>
        <v/>
      </c>
      <c r="C7">
        <f>ABS('DSCR Example'!B15-(=B11/B10*100))&lt;0.0001</f>
        <v/>
      </c>
      <c r="D7" s="8">
        <f>IF(C7=TRUE,"MATCH","MISMATCH")</f>
        <v/>
      </c>
    </row>
    <row r="8">
      <c r="A8" t="inlineStr">
        <is>
          <t>DSCR Example!C18</t>
        </is>
      </c>
      <c r="B8" s="2">
        <f>$B$5</f>
        <v/>
      </c>
      <c r="C8">
        <f>ABS('DSCR Example'!C18-(=$B$5))&lt;0.0001</f>
        <v/>
      </c>
      <c r="D8" s="8">
        <f>IF(C8=TRUE,"MATCH","MISMATCH")</f>
        <v/>
      </c>
    </row>
    <row r="9">
      <c r="A9" t="inlineStr">
        <is>
          <t>DSCR Example!D18</t>
        </is>
      </c>
      <c r="B9" s="2">
        <f>C18*$B$6/100</f>
        <v/>
      </c>
      <c r="C9">
        <f>ABS('DSCR Example'!D18-(=C18*$B$6/100))&lt;0.0001</f>
        <v/>
      </c>
      <c r="D9" s="8">
        <f>IF(C9=TRUE,"MATCH","MISMATCH")</f>
        <v/>
      </c>
    </row>
    <row r="10">
      <c r="A10" t="inlineStr">
        <is>
          <t>DSCR Example!E18</t>
        </is>
      </c>
      <c r="B10" s="2">
        <f>$B$13</f>
        <v/>
      </c>
      <c r="C10">
        <f>ABS('DSCR Example'!E18-(=$B$13))&lt;0.0001</f>
        <v/>
      </c>
      <c r="D10" s="8">
        <f>IF(C10=TRUE,"MATCH","MISMATCH")</f>
        <v/>
      </c>
    </row>
    <row r="11">
      <c r="A11" t="inlineStr">
        <is>
          <t>DSCR Example!F18</t>
        </is>
      </c>
      <c r="B11" s="2">
        <f>B18-$B$8-D18</f>
        <v/>
      </c>
      <c r="C11">
        <f>ABS('DSCR Example'!F18-(=B18-$B$8-D18))&lt;0.0001</f>
        <v/>
      </c>
      <c r="D11" s="8">
        <f>IF(C11=TRUE,"MATCH","MISMATCH")</f>
        <v/>
      </c>
    </row>
    <row r="12">
      <c r="A12" t="inlineStr">
        <is>
          <t>DSCR Example!G18</t>
        </is>
      </c>
      <c r="B12" s="2">
        <f>MAX(F18,0)*$B$9/100</f>
        <v/>
      </c>
      <c r="C12">
        <f>ABS('DSCR Example'!G18-(=MAX(F18,0)*$B$9/100))&lt;0.0001</f>
        <v/>
      </c>
      <c r="D12" s="8">
        <f>IF(C12=TRUE,"MATCH","MISMATCH")</f>
        <v/>
      </c>
    </row>
    <row r="13">
      <c r="A13" t="inlineStr">
        <is>
          <t>DSCR Example!H18</t>
        </is>
      </c>
      <c r="B13" s="2">
        <f>(B18-G18)/(E18+D18)</f>
        <v/>
      </c>
      <c r="C13">
        <f>ABS('DSCR Example'!H18-(=(B18-G18)/(E18+D18)))&lt;0.0001</f>
        <v/>
      </c>
      <c r="D13" s="8">
        <f>IF(C13=TRUE,"MATCH","MISMATCH")</f>
        <v/>
      </c>
    </row>
    <row r="14">
      <c r="A14" t="inlineStr">
        <is>
          <t>DSCR Example!C19</t>
        </is>
      </c>
      <c r="B14" s="2">
        <f>C18-$B$13</f>
        <v/>
      </c>
      <c r="C14">
        <f>ABS('DSCR Example'!C19-(=C18-$B$13))&lt;0.0001</f>
        <v/>
      </c>
      <c r="D14" s="8">
        <f>IF(C14=TRUE,"MATCH","MISMATCH")</f>
        <v/>
      </c>
    </row>
    <row r="15">
      <c r="A15" t="inlineStr">
        <is>
          <t>DSCR Example!D19</t>
        </is>
      </c>
      <c r="B15" s="2">
        <f>C19*$B$6/100</f>
        <v/>
      </c>
      <c r="C15">
        <f>ABS('DSCR Example'!D19-(=C19*$B$6/100))&lt;0.0001</f>
        <v/>
      </c>
      <c r="D15" s="8">
        <f>IF(C15=TRUE,"MATCH","MISMATCH")</f>
        <v/>
      </c>
    </row>
    <row r="16">
      <c r="A16" t="inlineStr">
        <is>
          <t>DSCR Example!E19</t>
        </is>
      </c>
      <c r="B16" s="2">
        <f>$B$13</f>
        <v/>
      </c>
      <c r="C16">
        <f>ABS('DSCR Example'!E19-(=$B$13))&lt;0.0001</f>
        <v/>
      </c>
      <c r="D16" s="8">
        <f>IF(C16=TRUE,"MATCH","MISMATCH")</f>
        <v/>
      </c>
    </row>
    <row r="17">
      <c r="A17" t="inlineStr">
        <is>
          <t>DSCR Example!F19</t>
        </is>
      </c>
      <c r="B17" s="2">
        <f>B19-$B$8-D19</f>
        <v/>
      </c>
      <c r="C17">
        <f>ABS('DSCR Example'!F19-(=B19-$B$8-D19))&lt;0.0001</f>
        <v/>
      </c>
      <c r="D17" s="8">
        <f>IF(C17=TRUE,"MATCH","MISMATCH")</f>
        <v/>
      </c>
    </row>
    <row r="18">
      <c r="A18" t="inlineStr">
        <is>
          <t>DSCR Example!G19</t>
        </is>
      </c>
      <c r="B18" s="2">
        <f>MAX(F19,0)*$B$9/100</f>
        <v/>
      </c>
      <c r="C18">
        <f>ABS('DSCR Example'!G19-(=MAX(F19,0)*$B$9/100))&lt;0.0001</f>
        <v/>
      </c>
      <c r="D18" s="8">
        <f>IF(C18=TRUE,"MATCH","MISMATCH")</f>
        <v/>
      </c>
    </row>
    <row r="19">
      <c r="A19" t="inlineStr">
        <is>
          <t>DSCR Example!H19</t>
        </is>
      </c>
      <c r="B19" s="2">
        <f>(B19-G19)/(E19+D19)</f>
        <v/>
      </c>
      <c r="C19">
        <f>ABS('DSCR Example'!H19-(=(B19-G19)/(E19+D19)))&lt;0.0001</f>
        <v/>
      </c>
      <c r="D19" s="8">
        <f>IF(C19=TRUE,"MATCH","MISMATCH")</f>
        <v/>
      </c>
    </row>
    <row r="20">
      <c r="A20" t="inlineStr">
        <is>
          <t>DSCR Example!C20</t>
        </is>
      </c>
      <c r="B20" s="2">
        <f>C19-$B$13</f>
        <v/>
      </c>
      <c r="C20">
        <f>ABS('DSCR Example'!C20-(=C19-$B$13))&lt;0.0001</f>
        <v/>
      </c>
      <c r="D20" s="8">
        <f>IF(C20=TRUE,"MATCH","MISMATCH")</f>
        <v/>
      </c>
    </row>
    <row r="21">
      <c r="A21" t="inlineStr">
        <is>
          <t>DSCR Example!D20</t>
        </is>
      </c>
      <c r="B21" s="2">
        <f>C20*$B$6/100</f>
        <v/>
      </c>
      <c r="C21">
        <f>ABS('DSCR Example'!D20-(=C20*$B$6/100))&lt;0.0001</f>
        <v/>
      </c>
      <c r="D21" s="8">
        <f>IF(C21=TRUE,"MATCH","MISMATCH")</f>
        <v/>
      </c>
    </row>
    <row r="22">
      <c r="A22" t="inlineStr">
        <is>
          <t>DSCR Example!E20</t>
        </is>
      </c>
      <c r="B22" s="2">
        <f>$B$13</f>
        <v/>
      </c>
      <c r="C22">
        <f>ABS('DSCR Example'!E20-(=$B$13))&lt;0.0001</f>
        <v/>
      </c>
      <c r="D22" s="8">
        <f>IF(C22=TRUE,"MATCH","MISMATCH")</f>
        <v/>
      </c>
    </row>
    <row r="23">
      <c r="A23" t="inlineStr">
        <is>
          <t>DSCR Example!F20</t>
        </is>
      </c>
      <c r="B23" s="2">
        <f>B20-$B$8-D20</f>
        <v/>
      </c>
      <c r="C23">
        <f>ABS('DSCR Example'!F20-(=B20-$B$8-D20))&lt;0.0001</f>
        <v/>
      </c>
      <c r="D23" s="8">
        <f>IF(C23=TRUE,"MATCH","MISMATCH")</f>
        <v/>
      </c>
    </row>
    <row r="24">
      <c r="A24" t="inlineStr">
        <is>
          <t>DSCR Example!G20</t>
        </is>
      </c>
      <c r="B24" s="2">
        <f>MAX(F20,0)*$B$9/100</f>
        <v/>
      </c>
      <c r="C24">
        <f>ABS('DSCR Example'!G20-(=MAX(F20,0)*$B$9/100))&lt;0.0001</f>
        <v/>
      </c>
      <c r="D24" s="8">
        <f>IF(C24=TRUE,"MATCH","MISMATCH")</f>
        <v/>
      </c>
    </row>
    <row r="25">
      <c r="A25" t="inlineStr">
        <is>
          <t>DSCR Example!H20</t>
        </is>
      </c>
      <c r="B25" s="2">
        <f>(B20-G20)/(E20+D20)</f>
        <v/>
      </c>
      <c r="C25">
        <f>ABS('DSCR Example'!H20-(=(B20-G20)/(E20+D20)))&lt;0.0001</f>
        <v/>
      </c>
      <c r="D25" s="8">
        <f>IF(C25=TRUE,"MATCH","MISMATCH")</f>
        <v/>
      </c>
    </row>
    <row r="26">
      <c r="A26" t="inlineStr">
        <is>
          <t>DSCR Example!C21</t>
        </is>
      </c>
      <c r="B26" s="2">
        <f>C20-$B$13</f>
        <v/>
      </c>
      <c r="C26">
        <f>ABS('DSCR Example'!C21-(=C20-$B$13))&lt;0.0001</f>
        <v/>
      </c>
      <c r="D26" s="8">
        <f>IF(C26=TRUE,"MATCH","MISMATCH")</f>
        <v/>
      </c>
    </row>
    <row r="27">
      <c r="A27" t="inlineStr">
        <is>
          <t>DSCR Example!D21</t>
        </is>
      </c>
      <c r="B27" s="2">
        <f>C21*$B$6/100</f>
        <v/>
      </c>
      <c r="C27">
        <f>ABS('DSCR Example'!D21-(=C21*$B$6/100))&lt;0.0001</f>
        <v/>
      </c>
      <c r="D27" s="8">
        <f>IF(C27=TRUE,"MATCH","MISMATCH")</f>
        <v/>
      </c>
    </row>
    <row r="28">
      <c r="A28" t="inlineStr">
        <is>
          <t>DSCR Example!E21</t>
        </is>
      </c>
      <c r="B28" s="2">
        <f>$B$13</f>
        <v/>
      </c>
      <c r="C28">
        <f>ABS('DSCR Example'!E21-(=$B$13))&lt;0.0001</f>
        <v/>
      </c>
      <c r="D28" s="8">
        <f>IF(C28=TRUE,"MATCH","MISMATCH")</f>
        <v/>
      </c>
    </row>
    <row r="29">
      <c r="A29" t="inlineStr">
        <is>
          <t>DSCR Example!F21</t>
        </is>
      </c>
      <c r="B29" s="2">
        <f>B21-$B$8-D21</f>
        <v/>
      </c>
      <c r="C29">
        <f>ABS('DSCR Example'!F21-(=B21-$B$8-D21))&lt;0.0001</f>
        <v/>
      </c>
      <c r="D29" s="8">
        <f>IF(C29=TRUE,"MATCH","MISMATCH")</f>
        <v/>
      </c>
    </row>
    <row r="30">
      <c r="A30" t="inlineStr">
        <is>
          <t>DSCR Example!G21</t>
        </is>
      </c>
      <c r="B30" s="2">
        <f>MAX(F21,0)*$B$9/100</f>
        <v/>
      </c>
      <c r="C30">
        <f>ABS('DSCR Example'!G21-(=MAX(F21,0)*$B$9/100))&lt;0.0001</f>
        <v/>
      </c>
      <c r="D30" s="8">
        <f>IF(C30=TRUE,"MATCH","MISMATCH")</f>
        <v/>
      </c>
    </row>
    <row r="31">
      <c r="A31" t="inlineStr">
        <is>
          <t>DSCR Example!H21</t>
        </is>
      </c>
      <c r="B31" s="2">
        <f>(B21-G21)/(E21+D21)</f>
        <v/>
      </c>
      <c r="C31">
        <f>ABS('DSCR Example'!H21-(=(B21-G21)/(E21+D21)))&lt;0.0001</f>
        <v/>
      </c>
      <c r="D31" s="8">
        <f>IF(C31=TRUE,"MATCH","MISMATCH")</f>
        <v/>
      </c>
    </row>
    <row r="32">
      <c r="A32" t="inlineStr">
        <is>
          <t>DSCR Example!C22</t>
        </is>
      </c>
      <c r="B32" s="2">
        <f>C21-$B$13</f>
        <v/>
      </c>
      <c r="C32">
        <f>ABS('DSCR Example'!C22-(=C21-$B$13))&lt;0.0001</f>
        <v/>
      </c>
      <c r="D32" s="8">
        <f>IF(C32=TRUE,"MATCH","MISMATCH")</f>
        <v/>
      </c>
    </row>
    <row r="33">
      <c r="A33" t="inlineStr">
        <is>
          <t>DSCR Example!D22</t>
        </is>
      </c>
      <c r="B33" s="2">
        <f>C22*$B$6/100</f>
        <v/>
      </c>
      <c r="C33">
        <f>ABS('DSCR Example'!D22-(=C22*$B$6/100))&lt;0.0001</f>
        <v/>
      </c>
      <c r="D33" s="8">
        <f>IF(C33=TRUE,"MATCH","MISMATCH")</f>
        <v/>
      </c>
    </row>
    <row r="34">
      <c r="A34" t="inlineStr">
        <is>
          <t>DSCR Example!E22</t>
        </is>
      </c>
      <c r="B34" s="2">
        <f>$B$13</f>
        <v/>
      </c>
      <c r="C34">
        <f>ABS('DSCR Example'!E22-(=$B$13))&lt;0.0001</f>
        <v/>
      </c>
      <c r="D34" s="8">
        <f>IF(C34=TRUE,"MATCH","MISMATCH")</f>
        <v/>
      </c>
    </row>
    <row r="35">
      <c r="A35" t="inlineStr">
        <is>
          <t>DSCR Example!F22</t>
        </is>
      </c>
      <c r="B35" s="2">
        <f>B22-$B$8-D22</f>
        <v/>
      </c>
      <c r="C35">
        <f>ABS('DSCR Example'!F22-(=B22-$B$8-D22))&lt;0.0001</f>
        <v/>
      </c>
      <c r="D35" s="8">
        <f>IF(C35=TRUE,"MATCH","MISMATCH")</f>
        <v/>
      </c>
    </row>
    <row r="36">
      <c r="A36" t="inlineStr">
        <is>
          <t>DSCR Example!G22</t>
        </is>
      </c>
      <c r="B36" s="2">
        <f>MAX(F22,0)*$B$9/100</f>
        <v/>
      </c>
      <c r="C36">
        <f>ABS('DSCR Example'!G22-(=MAX(F22,0)*$B$9/100))&lt;0.0001</f>
        <v/>
      </c>
      <c r="D36" s="8">
        <f>IF(C36=TRUE,"MATCH","MISMATCH")</f>
        <v/>
      </c>
    </row>
    <row r="37">
      <c r="A37" t="inlineStr">
        <is>
          <t>DSCR Example!H22</t>
        </is>
      </c>
      <c r="B37" s="2">
        <f>(B22-G22)/(E22+D22)</f>
        <v/>
      </c>
      <c r="C37">
        <f>ABS('DSCR Example'!H22-(=(B22-G22)/(E22+D22)))&lt;0.0001</f>
        <v/>
      </c>
      <c r="D37" s="8">
        <f>IF(C37=TRUE,"MATCH","MISMATCH")</f>
        <v/>
      </c>
    </row>
    <row r="38">
      <c r="A38" t="inlineStr">
        <is>
          <t>DSCR Example!H23</t>
        </is>
      </c>
      <c r="B38" s="2">
        <f>AVERAGE(H18:H22)</f>
        <v/>
      </c>
      <c r="C38">
        <f>ABS('DSCR Example'!H23-(=AVERAGE(H18:H22)))&lt;0.0001</f>
        <v/>
      </c>
      <c r="D38" s="8">
        <f>IF(C38=TRUE,"MATCH","MISMATCH")</f>
        <v/>
      </c>
    </row>
    <row r="39">
      <c r="A39" t="inlineStr">
        <is>
          <t>DSCR Example!H24</t>
        </is>
      </c>
      <c r="B39" s="2">
        <f>MIN(H18:H22)</f>
        <v/>
      </c>
      <c r="C39">
        <f>ABS('DSCR Example'!H24-(=MIN(H18:H22)))&lt;0.0001</f>
        <v/>
      </c>
      <c r="D39" s="8">
        <f>IF(C39=TRUE,"MATCH","MISMATCH")</f>
        <v/>
      </c>
    </row>
    <row r="40">
      <c r="A40" t="inlineStr">
        <is>
          <t>Sensitivity!B5</t>
        </is>
      </c>
      <c r="B40" s="2">
        <f>('DSCR Example'!B18*0.8-MAX('DSCR Example'!B18*0.8-'DSCR Example'!$B$8-'DSCR Example'!D18,0)*'DSCR Example'!$B$9/100)/('DSCR Example'!E18+'DSCR Example'!D18)</f>
        <v/>
      </c>
      <c r="C40">
        <f>ABS(Sensitivity!B5-(=('DSCR Example'!B18*0.8-MAX('DSCR Example'!B18*0.8-'DSCR Example'!$B$8-'DSCR Example'!D18,0)*'DSCR Example'!$B$9/100)/('DSCR Example'!E18+'DSCR Example'!D18)))&lt;0.0001</f>
        <v/>
      </c>
      <c r="D40" s="8">
        <f>IF(C40=TRUE,"MATCH","MISMATCH")</f>
        <v/>
      </c>
    </row>
    <row r="41">
      <c r="A41" t="inlineStr">
        <is>
          <t>Sensitivity!C5</t>
        </is>
      </c>
      <c r="B41" s="2">
        <f>AVERAGE(('DSCR Example'!B18*0.8-MAX('DSCR Example'!B18*0.8-'DSCR Example'!$B$8-'DSCR Example'!D18,0)*'DSCR Example'!$B$9/100)/('DSCR Example'!E18+'DSCR Example'!D18),('DSCR Example'!B19*0.8-MAX('DSCR Example'!B19*0.8-'DSCR Example'!$B$8-'DSCR Example'!D19,0)*'DSCR Example'!$B$9/100)/('DSCR Example'!E19+'DSCR Example'!D19),('DSCR Example'!B20*0.8-MAX('DSCR Example'!B20*0.8-'DSCR Example'!$B$8-'DSCR Example'!D20,0)*'DSCR Example'!$B$9/100)/('DSCR Example'!E20+'DSCR Example'!D20),('DSCR Example'!B21*0.8-MAX('DSCR Example'!B21*0.8-'DSCR Example'!$B$8-'DSCR Example'!D21,0)*'DSCR Example'!$B$9/100)/('DSCR Example'!E21+'DSCR Example'!D21),('DSCR Example'!B22*0.8-MAX('DSCR Example'!B22*0.8-'DSCR Example'!$B$8-'DSCR Example'!D22,0)*'DSCR Example'!$B$9/100)/('DSCR Example'!E22+'DSCR Example'!D22))</f>
        <v/>
      </c>
      <c r="C41">
        <f>ABS(Sensitivity!C5-(=AVERAGE(('DSCR Example'!B18*0.8-MAX('DSCR Example'!B18*0.8-'DSCR Example'!$B$8-'DSCR Example'!D18,0)*'DSCR Example'!$B$9/100)/('DSCR Example'!E18+'DSCR Example'!D18),('DSCR Example'!B19*0.8-MAX('DSCR Example'!B19*0.8-'DSCR Example'!$B$8-'DSCR Example'!D19,0)*'DSCR Example'!$B$9/100)/('DSCR Example'!E19+'DSCR Example'!D19),('DSCR Example'!B20*0.8-MAX('DSCR Example'!B20*0.8-'DSCR Example'!$B$8-'DSCR Example'!D20,0)*'DSCR Example'!$B$9/100)/('DSCR Example'!E20+'DSCR Example'!D20),('DSCR Example'!B21*0.8-MAX('DSCR Example'!B21*0.8-'DSCR Example'!$B$8-'DSCR Example'!D21,0)*'DSCR Example'!$B$9/100)/('DSCR Example'!E21+'DSCR Example'!D21),('DSCR Example'!B22*0.8-MAX('DSCR Example'!B22*0.8-'DSCR Example'!$B$8-'DSCR Example'!D22,0)*'DSCR Example'!$B$9/100)/('DSCR Example'!E22+'DSCR Example'!D22))))&lt;0.0001</f>
        <v/>
      </c>
      <c r="D41" s="8">
        <f>IF(C41=TRUE,"MATCH","MISMATCH")</f>
        <v/>
      </c>
    </row>
    <row r="42">
      <c r="A42" t="inlineStr">
        <is>
          <t>Sensitivity!B6</t>
        </is>
      </c>
      <c r="B42" s="2">
        <f>('DSCR Example'!B18*0.9-MAX('DSCR Example'!B18*0.9-'DSCR Example'!$B$8-'DSCR Example'!D18,0)*'DSCR Example'!$B$9/100)/('DSCR Example'!E18+'DSCR Example'!D18)</f>
        <v/>
      </c>
      <c r="C42">
        <f>ABS(Sensitivity!B6-(=('DSCR Example'!B18*0.9-MAX('DSCR Example'!B18*0.9-'DSCR Example'!$B$8-'DSCR Example'!D18,0)*'DSCR Example'!$B$9/100)/('DSCR Example'!E18+'DSCR Example'!D18)))&lt;0.0001</f>
        <v/>
      </c>
      <c r="D42" s="8">
        <f>IF(C42=TRUE,"MATCH","MISMATCH")</f>
        <v/>
      </c>
    </row>
    <row r="43">
      <c r="A43" t="inlineStr">
        <is>
          <t>Sensitivity!C6</t>
        </is>
      </c>
      <c r="B43" s="2">
        <f>AVERAGE(('DSCR Example'!B18*0.9-MAX('DSCR Example'!B18*0.9-'DSCR Example'!$B$8-'DSCR Example'!D18,0)*'DSCR Example'!$B$9/100)/('DSCR Example'!E18+'DSCR Example'!D18),('DSCR Example'!B19*0.9-MAX('DSCR Example'!B19*0.9-'DSCR Example'!$B$8-'DSCR Example'!D19,0)*'DSCR Example'!$B$9/100)/('DSCR Example'!E19+'DSCR Example'!D19),('DSCR Example'!B20*0.9-MAX('DSCR Example'!B20*0.9-'DSCR Example'!$B$8-'DSCR Example'!D20,0)*'DSCR Example'!$B$9/100)/('DSCR Example'!E20+'DSCR Example'!D20),('DSCR Example'!B21*0.9-MAX('DSCR Example'!B21*0.9-'DSCR Example'!$B$8-'DSCR Example'!D21,0)*'DSCR Example'!$B$9/100)/('DSCR Example'!E21+'DSCR Example'!D21),('DSCR Example'!B22*0.9-MAX('DSCR Example'!B22*0.9-'DSCR Example'!$B$8-'DSCR Example'!D22,0)*'DSCR Example'!$B$9/100)/('DSCR Example'!E22+'DSCR Example'!D22))</f>
        <v/>
      </c>
      <c r="C43">
        <f>ABS(Sensitivity!C6-(=AVERAGE(('DSCR Example'!B18*0.9-MAX('DSCR Example'!B18*0.9-'DSCR Example'!$B$8-'DSCR Example'!D18,0)*'DSCR Example'!$B$9/100)/('DSCR Example'!E18+'DSCR Example'!D18),('DSCR Example'!B19*0.9-MAX('DSCR Example'!B19*0.9-'DSCR Example'!$B$8-'DSCR Example'!D19,0)*'DSCR Example'!$B$9/100)/('DSCR Example'!E19+'DSCR Example'!D19),('DSCR Example'!B20*0.9-MAX('DSCR Example'!B20*0.9-'DSCR Example'!$B$8-'DSCR Example'!D20,0)*'DSCR Example'!$B$9/100)/('DSCR Example'!E20+'DSCR Example'!D20),('DSCR Example'!B21*0.9-MAX('DSCR Example'!B21*0.9-'DSCR Example'!$B$8-'DSCR Example'!D21,0)*'DSCR Example'!$B$9/100)/('DSCR Example'!E21+'DSCR Example'!D21),('DSCR Example'!B22*0.9-MAX('DSCR Example'!B22*0.9-'DSCR Example'!$B$8-'DSCR Example'!D22,0)*'DSCR Example'!$B$9/100)/('DSCR Example'!E22+'DSCR Example'!D22))))&lt;0.0001</f>
        <v/>
      </c>
      <c r="D43" s="8">
        <f>IF(C43=TRUE,"MATCH","MISMATCH")</f>
        <v/>
      </c>
    </row>
    <row r="44">
      <c r="A44" t="inlineStr">
        <is>
          <t>Sensitivity!B7</t>
        </is>
      </c>
      <c r="B44" s="2">
        <f>('DSCR Example'!B18*1.0-MAX('DSCR Example'!B18*1.0-'DSCR Example'!$B$8-'DSCR Example'!D18,0)*'DSCR Example'!$B$9/100)/('DSCR Example'!E18+'DSCR Example'!D18)</f>
        <v/>
      </c>
      <c r="C44">
        <f>ABS(Sensitivity!B7-(=('DSCR Example'!B18*1.0-MAX('DSCR Example'!B18*1.0-'DSCR Example'!$B$8-'DSCR Example'!D18,0)*'DSCR Example'!$B$9/100)/('DSCR Example'!E18+'DSCR Example'!D18)))&lt;0.0001</f>
        <v/>
      </c>
      <c r="D44" s="8">
        <f>IF(C44=TRUE,"MATCH","MISMATCH")</f>
        <v/>
      </c>
    </row>
    <row r="45">
      <c r="A45" t="inlineStr">
        <is>
          <t>Sensitivity!C7</t>
        </is>
      </c>
      <c r="B45" s="2">
        <f>AVERAGE(('DSCR Example'!B18*1.0-MAX('DSCR Example'!B18*1.0-'DSCR Example'!$B$8-'DSCR Example'!D18,0)*'DSCR Example'!$B$9/100)/('DSCR Example'!E18+'DSCR Example'!D18),('DSCR Example'!B19*1.0-MAX('DSCR Example'!B19*1.0-'DSCR Example'!$B$8-'DSCR Example'!D19,0)*'DSCR Example'!$B$9/100)/('DSCR Example'!E19+'DSCR Example'!D19),('DSCR Example'!B20*1.0-MAX('DSCR Example'!B20*1.0-'DSCR Example'!$B$8-'DSCR Example'!D20,0)*'DSCR Example'!$B$9/100)/('DSCR Example'!E20+'DSCR Example'!D20),('DSCR Example'!B21*1.0-MAX('DSCR Example'!B21*1.0-'DSCR Example'!$B$8-'DSCR Example'!D21,0)*'DSCR Example'!$B$9/100)/('DSCR Example'!E21+'DSCR Example'!D21),('DSCR Example'!B22*1.0-MAX('DSCR Example'!B22*1.0-'DSCR Example'!$B$8-'DSCR Example'!D22,0)*'DSCR Example'!$B$9/100)/('DSCR Example'!E22+'DSCR Example'!D22))</f>
        <v/>
      </c>
      <c r="C45">
        <f>ABS(Sensitivity!C7-(=AVERAGE(('DSCR Example'!B18*1.0-MAX('DSCR Example'!B18*1.0-'DSCR Example'!$B$8-'DSCR Example'!D18,0)*'DSCR Example'!$B$9/100)/('DSCR Example'!E18+'DSCR Example'!D18),('DSCR Example'!B19*1.0-MAX('DSCR Example'!B19*1.0-'DSCR Example'!$B$8-'DSCR Example'!D19,0)*'DSCR Example'!$B$9/100)/('DSCR Example'!E19+'DSCR Example'!D19),('DSCR Example'!B20*1.0-MAX('DSCR Example'!B20*1.0-'DSCR Example'!$B$8-'DSCR Example'!D20,0)*'DSCR Example'!$B$9/100)/('DSCR Example'!E20+'DSCR Example'!D20),('DSCR Example'!B21*1.0-MAX('DSCR Example'!B21*1.0-'DSCR Example'!$B$8-'DSCR Example'!D21,0)*'DSCR Example'!$B$9/100)/('DSCR Example'!E21+'DSCR Example'!D21),('DSCR Example'!B22*1.0-MAX('DSCR Example'!B22*1.0-'DSCR Example'!$B$8-'DSCR Example'!D22,0)*'DSCR Example'!$B$9/100)/('DSCR Example'!E22+'DSCR Example'!D22))))&lt;0.0001</f>
        <v/>
      </c>
      <c r="D45" s="8">
        <f>IF(C45=TRUE,"MATCH","MISMATCH")</f>
        <v/>
      </c>
    </row>
    <row r="46">
      <c r="A46" t="inlineStr">
        <is>
          <t>Sensitivity!B8</t>
        </is>
      </c>
      <c r="B46" s="2">
        <f>('DSCR Example'!B18*1.1-MAX('DSCR Example'!B18*1.1-'DSCR Example'!$B$8-'DSCR Example'!D18,0)*'DSCR Example'!$B$9/100)/('DSCR Example'!E18+'DSCR Example'!D18)</f>
        <v/>
      </c>
      <c r="C46">
        <f>ABS(Sensitivity!B8-(=('DSCR Example'!B18*1.1-MAX('DSCR Example'!B18*1.1-'DSCR Example'!$B$8-'DSCR Example'!D18,0)*'DSCR Example'!$B$9/100)/('DSCR Example'!E18+'DSCR Example'!D18)))&lt;0.0001</f>
        <v/>
      </c>
      <c r="D46" s="8">
        <f>IF(C46=TRUE,"MATCH","MISMATCH")</f>
        <v/>
      </c>
    </row>
    <row r="47">
      <c r="A47" t="inlineStr">
        <is>
          <t>Sensitivity!C8</t>
        </is>
      </c>
      <c r="B47" s="2">
        <f>AVERAGE(('DSCR Example'!B18*1.1-MAX('DSCR Example'!B18*1.1-'DSCR Example'!$B$8-'DSCR Example'!D18,0)*'DSCR Example'!$B$9/100)/('DSCR Example'!E18+'DSCR Example'!D18),('DSCR Example'!B19*1.1-MAX('DSCR Example'!B19*1.1-'DSCR Example'!$B$8-'DSCR Example'!D19,0)*'DSCR Example'!$B$9/100)/('DSCR Example'!E19+'DSCR Example'!D19),('DSCR Example'!B20*1.1-MAX('DSCR Example'!B20*1.1-'DSCR Example'!$B$8-'DSCR Example'!D20,0)*'DSCR Example'!$B$9/100)/('DSCR Example'!E20+'DSCR Example'!D20),('DSCR Example'!B21*1.1-MAX('DSCR Example'!B21*1.1-'DSCR Example'!$B$8-'DSCR Example'!D21,0)*'DSCR Example'!$B$9/100)/('DSCR Example'!E21+'DSCR Example'!D21),('DSCR Example'!B22*1.1-MAX('DSCR Example'!B22*1.1-'DSCR Example'!$B$8-'DSCR Example'!D22,0)*'DSCR Example'!$B$9/100)/('DSCR Example'!E22+'DSCR Example'!D22))</f>
        <v/>
      </c>
      <c r="C47">
        <f>ABS(Sensitivity!C8-(=AVERAGE(('DSCR Example'!B18*1.1-MAX('DSCR Example'!B18*1.1-'DSCR Example'!$B$8-'DSCR Example'!D18,0)*'DSCR Example'!$B$9/100)/('DSCR Example'!E18+'DSCR Example'!D18),('DSCR Example'!B19*1.1-MAX('DSCR Example'!B19*1.1-'DSCR Example'!$B$8-'DSCR Example'!D19,0)*'DSCR Example'!$B$9/100)/('DSCR Example'!E19+'DSCR Example'!D19),('DSCR Example'!B20*1.1-MAX('DSCR Example'!B20*1.1-'DSCR Example'!$B$8-'DSCR Example'!D20,0)*'DSCR Example'!$B$9/100)/('DSCR Example'!E20+'DSCR Example'!D20),('DSCR Example'!B21*1.1-MAX('DSCR Example'!B21*1.1-'DSCR Example'!$B$8-'DSCR Example'!D21,0)*'DSCR Example'!$B$9/100)/('DSCR Example'!E21+'DSCR Example'!D21),('DSCR Example'!B22*1.1-MAX('DSCR Example'!B22*1.1-'DSCR Example'!$B$8-'DSCR Example'!D22,0)*'DSCR Example'!$B$9/100)/('DSCR Example'!E22+'DSCR Example'!D22))))&lt;0.0001</f>
        <v/>
      </c>
      <c r="D47" s="8">
        <f>IF(C47=TRUE,"MATCH","MISMATCH")</f>
        <v/>
      </c>
    </row>
    <row r="49">
      <c r="A49" s="3" t="inlineStr">
        <is>
          <t>Reconciliation rules</t>
        </is>
      </c>
    </row>
    <row r="50">
      <c r="A50" s="2" t="inlineStr">
        <is>
          <t>Principal repaid over tenor = loan amount</t>
        </is>
      </c>
      <c r="B50">
        <f>ABS('DSCR Example'!B13*'DSCR Example'!B7-'DSCR Example'!B5)&lt;0.01</f>
        <v/>
      </c>
      <c r="D50" s="8">
        <f>IF(=ABS('DSCR Example'!B13*'DSCR Example'!B7-'DSCR Example'!B5)&lt;0.01,"PASS","FAIL")</f>
        <v/>
      </c>
    </row>
    <row r="51">
      <c r="A51" s="2" t="inlineStr">
        <is>
          <t>Interest falls every year (declining balance)</t>
        </is>
      </c>
      <c r="B51">
        <f>AND('DSCR Example'!D18&gt;'DSCR Example'!D19,'DSCR Example'!D19&gt;'DSCR Example'!D20,'DSCR Example'!D20&gt;'DSCR Example'!D21,'DSCR Example'!D21&gt;'DSCR Example'!D22)</f>
        <v/>
      </c>
      <c r="D51" s="8">
        <f>IF(=AND('DSCR Example'!D18&gt;'DSCR Example'!D19,'DSCR Example'!D19&gt;'DSCR Example'!D20,'DSCR Example'!D20&gt;'DSCR Example'!D21,'DSCR Example'!D21&gt;'DSCR Example'!D22),"PASS","FAIL")</f>
        <v/>
      </c>
    </row>
    <row r="52">
      <c r="A52" s="2" t="inlineStr">
        <is>
          <t>DSCR rises every year in the example (PBDIT grows, interest falls)</t>
        </is>
      </c>
      <c r="B52">
        <f>AND('DSCR Example'!H18&lt;'DSCR Example'!H19,'DSCR Example'!H19&lt;'DSCR Example'!H20,'DSCR Example'!H20&lt;'DSCR Example'!H21,'DSCR Example'!H21&lt;'DSCR Example'!H22)</f>
        <v/>
      </c>
      <c r="D52" s="8">
        <f>IF(=AND('DSCR Example'!H18&lt;'DSCR Example'!H19,'DSCR Example'!H19&lt;'DSCR Example'!H20,'DSCR Example'!H20&lt;'DSCR Example'!H21,'DSCR Example'!H21&lt;'DSCR Example'!H22),"PASS","FAIL")</f>
        <v/>
      </c>
    </row>
    <row r="53">
      <c r="A53" s="2" t="inlineStr">
        <is>
          <t>Average DSCR = mean of the 5 yearly DSCRs</t>
        </is>
      </c>
      <c r="B53">
        <f>ABS('DSCR Example'!H23-AVERAGE('DSCR Example'!H18:'DSCR Example'!H22))&lt;0.0001</f>
        <v/>
      </c>
      <c r="D53" s="8">
        <f>IF(=ABS('DSCR Example'!H23-AVERAGE('DSCR Example'!H18:'DSCR Example'!H22))&lt;0.0001,"PASS","FAIL")</f>
        <v/>
      </c>
    </row>
    <row r="54">
      <c r="A54" s="2" t="inlineStr">
        <is>
          <t>Promoter % = contribution / project cost</t>
        </is>
      </c>
      <c r="B54">
        <f>ABS('DSCR Example'!B15-'DSCR Example'!B11/'DSCR Example'!B10*100)&lt;0.01</f>
        <v/>
      </c>
      <c r="D54" s="8">
        <f>IF(=ABS('DSCR Example'!B15-'DSCR Example'!B11/'DSCR Example'!B10*100)&lt;0.01,"PASS","FAIL")</f>
        <v/>
      </c>
    </row>
    <row r="56">
      <c r="A56" s="3" t="inlineStr">
        <is>
          <t>Overall verdict</t>
        </is>
      </c>
      <c r="D56" s="8">
        <f>IF(COUNTIF(D5:D54,"MISMATCH")+COUNTIF(D5:D54,"FAIL")=0,"ALL FORMULAS VERIFIED","REVIEW NEEDED")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2026-09-30T11:30:00+00:00Z</dcterms:created>
  <dcterms:modified xmlns:dcterms="http://purl.org/dc/terms/" xmlns:xsi="http://www.w3.org/2001/XMLSchema-instance" xsi:type="dcterms:W3CDTF">2026-09-30T11:30:00+00:00Z</dcterms:modified>
</cp:coreProperties>
</file>