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erm Loan DSCR" sheetId="1" r:id="rId1"/>
    <sheet name="Working Capital MPBF" sheetId="2" r:id="rId2"/>
    <sheet name="Checks" sheetId="3" r:id="rId3"/>
    <sheet name="How to use" sheetId="4" r:id="rId4"/>
  </sheets>
  <calcPr calcId="124519" fullCalcOnLoad="1"/>
</workbook>
</file>

<file path=xl/sharedStrings.xml><?xml version="1.0" encoding="utf-8"?>
<sst xmlns="http://schemas.openxmlformats.org/spreadsheetml/2006/main" count="112" uniqueCount="110">
  <si>
    <t>Term loan DSCR: Meera Engineering Works, Rs 112 lakh, 7 years</t>
  </si>
  <si>
    <t>Yellow cells are inputs in Rs lakh. Green cells are formulas. Do not type over a green cell.</t>
  </si>
  <si>
    <t>Article file: project cost Rs 150 lakh, promoter Rs 38 lakh (25.3%), term loan Rs 112 lakh at 10.75%.</t>
  </si>
  <si>
    <t>Input</t>
  </si>
  <si>
    <t>Rs lakh / %</t>
  </si>
  <si>
    <t>Note</t>
  </si>
  <si>
    <t>Term loan amount (Rs lakh)</t>
  </si>
  <si>
    <t>Sanctioned term loan in the article example.</t>
  </si>
  <si>
    <t>Interest rate (% per year, as decimal)</t>
  </si>
  <si>
    <t>Enter 0.1075 for 10.75%. Interest is on opening balance.</t>
  </si>
  <si>
    <t>Tenor (years)</t>
  </si>
  <si>
    <t>Equal principal each year in this simple comparator.</t>
  </si>
  <si>
    <t>Project cost (Rs lakh)</t>
  </si>
  <si>
    <t>Plant 110 + installation 15 + pre-op 10 + WC margin 15.</t>
  </si>
  <si>
    <t>Promoter contribution (Rs lakh)</t>
  </si>
  <si>
    <t>Article share: 25.3% of project cost. Bank convention, not RBI law.</t>
  </si>
  <si>
    <t>Depreciation per year (Rs lakh)</t>
  </si>
  <si>
    <t>Held flat for illustration. Your CA schedule will vary by year.</t>
  </si>
  <si>
    <t>Principal per year</t>
  </si>
  <si>
    <t>Loan divided by tenor. Article: Rs 16.00 lakh.</t>
  </si>
  <si>
    <t>Promoter share of project cost</t>
  </si>
  <si>
    <t>Article: 25.3%.</t>
  </si>
  <si>
    <t>Debt to promoter funds (loan / contribution)</t>
  </si>
  <si>
    <t>Leverage read alongside DSCR. Article: 2.95.</t>
  </si>
  <si>
    <t>Year</t>
  </si>
  <si>
    <t>Opening balance</t>
  </si>
  <si>
    <t>Interest</t>
  </si>
  <si>
    <t>PAT (input)</t>
  </si>
  <si>
    <t>Cash accrual</t>
  </si>
  <si>
    <t>DSCR</t>
  </si>
  <si>
    <t>Debt service = principal + interest</t>
  </si>
  <si>
    <t>Average DSCR (7 years)</t>
  </si>
  <si>
    <t>Article: 1.97. Bank fresh loan comfort often 1.50 to 2.00 average. Policy, not RBI law.</t>
  </si>
  <si>
    <t>Minimum year DSCR</t>
  </si>
  <si>
    <t>Article: 1.32 in Year 1. Officers read the weak year hard.</t>
  </si>
  <si>
    <t>Reading</t>
  </si>
  <si>
    <t>1.25 is the RBI restructuring illustration. 1.50 is a common bank convention floor read. Your bank line governs.</t>
  </si>
  <si>
    <t>Working capital MPBF and drawing power: same borrower file</t>
  </si>
  <si>
    <t>Yellow cells are inputs in Rs lakh. Green cells are formulas.</t>
  </si>
  <si>
    <t>Article peak projection: current assets Rs 145 lakh, other current liabilities Rs 55 lakh, sanctioned limit Rs 50 lakh.</t>
  </si>
  <si>
    <t>Current assets and liabilities (Rs lakh)</t>
  </si>
  <si>
    <t>Amount</t>
  </si>
  <si>
    <t>Stock (RM + WIP + finished goods)</t>
  </si>
  <si>
    <t>Projected peak stock in the article file.</t>
  </si>
  <si>
    <t>Receivables (book debts)</t>
  </si>
  <si>
    <t>Projected debtors before age filtering.</t>
  </si>
  <si>
    <t>Other current assets</t>
  </si>
  <si>
    <t>Advances and other current assets.</t>
  </si>
  <si>
    <t>Creditors</t>
  </si>
  <si>
    <t>Trade creditors, part of other current liabilities.</t>
  </si>
  <si>
    <t>Other current liabilities excl. bank</t>
  </si>
  <si>
    <t>Dues and provisions excluding bank borrowing.</t>
  </si>
  <si>
    <t>Sanctioned WC limit</t>
  </si>
  <si>
    <t>Example sanction, below assessed MPBF 53.75.</t>
  </si>
  <si>
    <t>Existing net working capital</t>
  </si>
  <si>
    <t>Long term funds already in current assets. Article shortfall follows.</t>
  </si>
  <si>
    <t>Paid stock for DP (after unpaid exclusion)</t>
  </si>
  <si>
    <t>Stock statement paid stock in the sample month.</t>
  </si>
  <si>
    <t>Debtors within 90 days for DP</t>
  </si>
  <si>
    <t>Of 80 total, 62 sit within the accepted age.</t>
  </si>
  <si>
    <t>Stock margin (decimal)</t>
  </si>
  <si>
    <t>Workbook input, bank policy. 0.25 means 25%.</t>
  </si>
  <si>
    <t>Debtor margin (decimal)</t>
  </si>
  <si>
    <t>Workbook input, bank policy. 0.40 means 40%.</t>
  </si>
  <si>
    <t>Total current assets</t>
  </si>
  <si>
    <t>Article: 145.00.</t>
  </si>
  <si>
    <t>Article: 55.00.</t>
  </si>
  <si>
    <t>Working capital gap</t>
  </si>
  <si>
    <t>Article: 90.00.</t>
  </si>
  <si>
    <t>MPBF Method I</t>
  </si>
  <si>
    <t>Article: 67.50. 75% of the gap.</t>
  </si>
  <si>
    <t>MPBF Method II (assessed ceiling)</t>
  </si>
  <si>
    <t>Article: 53.75. Banks may use another board approved method since April 1997.</t>
  </si>
  <si>
    <t>Required NWC under Method II</t>
  </si>
  <si>
    <t>Article: 36.25. 25% of current assets from long term sources.</t>
  </si>
  <si>
    <t>Current ratio at full Method II drawing</t>
  </si>
  <si>
    <t>Article: 1.33. Convention since the 1997 withdrawal, not a live RBI mandate.</t>
  </si>
  <si>
    <t>NWC shortfall to fund</t>
  </si>
  <si>
    <t>Article: 10.25. Funded from the Rs 15 lakh WC margin money in project cost.</t>
  </si>
  <si>
    <t>DP on paid stock</t>
  </si>
  <si>
    <t>Paid stock after margin. Article: 37.50.</t>
  </si>
  <si>
    <t>DP on eligible debtors</t>
  </si>
  <si>
    <t>Article: 37.20.</t>
  </si>
  <si>
    <t>Gross drawing power before cap</t>
  </si>
  <si>
    <t>Article: 74.70.</t>
  </si>
  <si>
    <t>Effective drawing (lower of sanction, DP)</t>
  </si>
  <si>
    <t>Article: 50.00, sanction binds. In a lean month DP can bind instead.</t>
  </si>
  <si>
    <t>Worked-example checks (must all read PASS)</t>
  </si>
  <si>
    <t>Expected values are the article numbers. Workbook column recomputes them from Sheets 1 and 2. Change yellow inputs and these article checks no longer apply.</t>
  </si>
  <si>
    <t>Check</t>
  </si>
  <si>
    <t>Expected</t>
  </si>
  <si>
    <t>Workbook (formula)</t>
  </si>
  <si>
    <t>Result</t>
  </si>
  <si>
    <t>Principal per year = 16.00</t>
  </si>
  <si>
    <t>Year 1 DSCR = 1.32</t>
  </si>
  <si>
    <t>Average DSCR = 1.97</t>
  </si>
  <si>
    <t>Minimum DSCR = 1.32</t>
  </si>
  <si>
    <t>Total current assets = 145.00</t>
  </si>
  <si>
    <t>MPBF Method II = 53.75</t>
  </si>
  <si>
    <t>Current ratio at MPBF = 1.33</t>
  </si>
  <si>
    <t>NWC shortfall = 10.25</t>
  </si>
  <si>
    <t>Gross DP before cap = 74.70</t>
  </si>
  <si>
    <t>Effective drawing = 50.00</t>
  </si>
  <si>
    <t>How to use this comparator</t>
  </si>
  <si>
    <t>Run both sheets on your own file before you ask for linked facilities. Ten minutes here saves a second sanction meeting.</t>
  </si>
  <si>
    <t>1. On Term Loan DSCR, replace the yellow loan, rate, tenor, promoter and PAT inputs with your file. Read the minimum year first, then the average.</t>
  </si>
  <si>
    <t>2. If Year 1 is the weak year, test a moratorium, a step up principal, or a lower loan amount. Do not lift Year 1 PAT to fix a structure problem.</t>
  </si>
  <si>
    <t>3. On Working Capital MPBF, enter your projected current assets and other current liabilities. Note MPBF II, required NWC, and the shortfall you must fund.</t>
  </si>
  <si>
    <t>4. Enter paid stock and debtors within your bank accepted age. Effective drawing is the lower of your sanctioned limit and drawing power.</t>
  </si>
  <si>
    <t>5. Ratio bands in this workbook are bank policy logic for self testing. RBI withdrew the mandatory MPBF prescription in April 1997. Your sanction letter governs.</t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</si>
</sst>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0.00%"/>
    <numFmt numFmtId="166" formatCode="0.0%"/>
    <numFmt numFmtId="167" formatCode="0.00"/>
  </numFmts>
  <fonts count="5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44444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EA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2" borderId="1" xfId="0" applyFill="1" applyBorder="1" applyAlignment="1">
      <alignment vertical="center" wrapText="1"/>
    </xf>
    <xf numFmtId="164" fontId="0" fillId="3" borderId="1" xfId="0" applyNumberFormat="1" applyFill="1" applyBorder="1"/>
    <xf numFmtId="0" fontId="4" fillId="0" borderId="0" xfId="0" applyFont="1" applyAlignment="1">
      <alignment vertical="center" wrapText="1"/>
    </xf>
    <xf numFmtId="165" fontId="0" fillId="3" borderId="1" xfId="0" applyNumberFormat="1" applyFill="1" applyBorder="1"/>
    <xf numFmtId="1" fontId="0" fillId="3" borderId="1" xfId="0" applyNumberFormat="1" applyFill="1" applyBorder="1"/>
    <xf numFmtId="164" fontId="0" fillId="4" borderId="1" xfId="0" applyNumberFormat="1" applyFill="1" applyBorder="1"/>
    <xf numFmtId="166" fontId="0" fillId="4" borderId="1" xfId="0" applyNumberFormat="1" applyFill="1" applyBorder="1"/>
    <xf numFmtId="167" fontId="0" fillId="4" borderId="1" xfId="0" applyNumberFormat="1" applyFill="1" applyBorder="1"/>
    <xf numFmtId="0" fontId="0" fillId="4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cols>
    <col min="1" max="1" width="42.7109375" customWidth="1"/>
    <col min="2" max="6" width="18.7109375" customWidth="1"/>
    <col min="7" max="7" width="52.7109375" customWidth="1"/>
  </cols>
  <sheetData>
    <row r="1" spans="1:7">
      <c r="A1" s="1" t="s">
        <v>0</v>
      </c>
    </row>
    <row r="2" spans="1:7">
      <c r="A2" s="2" t="s">
        <v>1</v>
      </c>
    </row>
    <row r="3" spans="1:7">
      <c r="A3" s="2" t="s">
        <v>2</v>
      </c>
    </row>
    <row r="5" spans="1:7">
      <c r="A5" s="3" t="s">
        <v>3</v>
      </c>
      <c r="B5" s="3" t="s">
        <v>4</v>
      </c>
      <c r="G5" s="3" t="s">
        <v>5</v>
      </c>
    </row>
    <row r="6" spans="1:7">
      <c r="A6" s="4" t="s">
        <v>6</v>
      </c>
      <c r="B6" s="5">
        <v>112</v>
      </c>
      <c r="G6" s="6" t="s">
        <v>7</v>
      </c>
    </row>
    <row r="7" spans="1:7">
      <c r="A7" s="4" t="s">
        <v>8</v>
      </c>
      <c r="B7" s="7">
        <v>0.1075</v>
      </c>
      <c r="G7" s="6" t="s">
        <v>9</v>
      </c>
    </row>
    <row r="8" spans="1:7">
      <c r="A8" s="4" t="s">
        <v>10</v>
      </c>
      <c r="B8" s="8">
        <v>7</v>
      </c>
      <c r="G8" s="6" t="s">
        <v>11</v>
      </c>
    </row>
    <row r="9" spans="1:7">
      <c r="A9" s="4" t="s">
        <v>12</v>
      </c>
      <c r="B9" s="5">
        <v>150</v>
      </c>
      <c r="G9" s="6" t="s">
        <v>13</v>
      </c>
    </row>
    <row r="10" spans="1:7">
      <c r="A10" s="4" t="s">
        <v>14</v>
      </c>
      <c r="B10" s="5">
        <v>38</v>
      </c>
      <c r="G10" s="6" t="s">
        <v>15</v>
      </c>
    </row>
    <row r="11" spans="1:7">
      <c r="A11" s="4" t="s">
        <v>16</v>
      </c>
      <c r="B11" s="5">
        <v>11</v>
      </c>
      <c r="G11" s="6" t="s">
        <v>17</v>
      </c>
    </row>
    <row r="12" spans="1:7">
      <c r="A12" s="4" t="s">
        <v>18</v>
      </c>
      <c r="B12" s="9">
        <f>B6/B8</f>
        <v>0</v>
      </c>
      <c r="G12" s="6" t="s">
        <v>19</v>
      </c>
    </row>
    <row r="13" spans="1:7">
      <c r="A13" s="4" t="s">
        <v>20</v>
      </c>
      <c r="B13" s="10">
        <f>B10/B9</f>
        <v>0</v>
      </c>
      <c r="G13" s="6" t="s">
        <v>21</v>
      </c>
    </row>
    <row r="14" spans="1:7">
      <c r="A14" s="4" t="s">
        <v>22</v>
      </c>
      <c r="B14" s="11">
        <f>B6/B10</f>
        <v>0</v>
      </c>
      <c r="G14" s="6" t="s">
        <v>23</v>
      </c>
    </row>
    <row r="16" spans="1:7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29</v>
      </c>
      <c r="G16" s="3" t="s">
        <v>30</v>
      </c>
    </row>
    <row r="17" spans="1:7">
      <c r="A17" s="4">
        <v>1</v>
      </c>
      <c r="B17" s="9">
        <f>$B$6</f>
        <v>0</v>
      </c>
      <c r="C17" s="9">
        <f>B17*$B$7</f>
        <v>0</v>
      </c>
      <c r="D17" s="5">
        <v>14</v>
      </c>
      <c r="E17" s="9">
        <f>D17+$B$11+C17</f>
        <v>0</v>
      </c>
      <c r="F17" s="11">
        <f>E17/($B$12+C17)</f>
        <v>0</v>
      </c>
      <c r="G17" s="9">
        <f>$B$12+C17</f>
        <v>0</v>
      </c>
    </row>
    <row r="18" spans="1:7">
      <c r="A18" s="4">
        <v>2</v>
      </c>
      <c r="B18" s="9">
        <f>B17-$B$12</f>
        <v>0</v>
      </c>
      <c r="C18" s="9">
        <f>B18*$B$7</f>
        <v>0</v>
      </c>
      <c r="D18" s="5">
        <v>18</v>
      </c>
      <c r="E18" s="9">
        <f>D18+$B$11+C18</f>
        <v>0</v>
      </c>
      <c r="F18" s="11">
        <f>E18/($B$12+C18)</f>
        <v>0</v>
      </c>
      <c r="G18" s="9">
        <f>$B$12+C18</f>
        <v>0</v>
      </c>
    </row>
    <row r="19" spans="1:7">
      <c r="A19" s="4">
        <v>3</v>
      </c>
      <c r="B19" s="9">
        <f>B18-$B$12</f>
        <v>0</v>
      </c>
      <c r="C19" s="9">
        <f>B19*$B$7</f>
        <v>0</v>
      </c>
      <c r="D19" s="5">
        <v>23</v>
      </c>
      <c r="E19" s="9">
        <f>D19+$B$11+C19</f>
        <v>0</v>
      </c>
      <c r="F19" s="11">
        <f>E19/($B$12+C19)</f>
        <v>0</v>
      </c>
      <c r="G19" s="9">
        <f>$B$12+C19</f>
        <v>0</v>
      </c>
    </row>
    <row r="20" spans="1:7">
      <c r="A20" s="4">
        <v>4</v>
      </c>
      <c r="B20" s="9">
        <f>B19-$B$12</f>
        <v>0</v>
      </c>
      <c r="C20" s="9">
        <f>B20*$B$7</f>
        <v>0</v>
      </c>
      <c r="D20" s="5">
        <v>27</v>
      </c>
      <c r="E20" s="9">
        <f>D20+$B$11+C20</f>
        <v>0</v>
      </c>
      <c r="F20" s="11">
        <f>E20/($B$12+C20)</f>
        <v>0</v>
      </c>
      <c r="G20" s="9">
        <f>$B$12+C20</f>
        <v>0</v>
      </c>
    </row>
    <row r="21" spans="1:7">
      <c r="A21" s="4">
        <v>5</v>
      </c>
      <c r="B21" s="9">
        <f>B20-$B$12</f>
        <v>0</v>
      </c>
      <c r="C21" s="9">
        <f>B21*$B$7</f>
        <v>0</v>
      </c>
      <c r="D21" s="5">
        <v>30</v>
      </c>
      <c r="E21" s="9">
        <f>D21+$B$11+C21</f>
        <v>0</v>
      </c>
      <c r="F21" s="11">
        <f>E21/($B$12+C21)</f>
        <v>0</v>
      </c>
      <c r="G21" s="9">
        <f>$B$12+C21</f>
        <v>0</v>
      </c>
    </row>
    <row r="22" spans="1:7">
      <c r="A22" s="4">
        <v>6</v>
      </c>
      <c r="B22" s="9">
        <f>B21-$B$12</f>
        <v>0</v>
      </c>
      <c r="C22" s="9">
        <f>B22*$B$7</f>
        <v>0</v>
      </c>
      <c r="D22" s="5">
        <v>33</v>
      </c>
      <c r="E22" s="9">
        <f>D22+$B$11+C22</f>
        <v>0</v>
      </c>
      <c r="F22" s="11">
        <f>E22/($B$12+C22)</f>
        <v>0</v>
      </c>
      <c r="G22" s="9">
        <f>$B$12+C22</f>
        <v>0</v>
      </c>
    </row>
    <row r="23" spans="1:7">
      <c r="A23" s="4">
        <v>7</v>
      </c>
      <c r="B23" s="9">
        <f>B22-$B$12</f>
        <v>0</v>
      </c>
      <c r="C23" s="9">
        <f>B23*$B$7</f>
        <v>0</v>
      </c>
      <c r="D23" s="5">
        <v>35</v>
      </c>
      <c r="E23" s="9">
        <f>D23+$B$11+C23</f>
        <v>0</v>
      </c>
      <c r="F23" s="11">
        <f>E23/($B$12+C23)</f>
        <v>0</v>
      </c>
      <c r="G23" s="9">
        <f>$B$12+C23</f>
        <v>0</v>
      </c>
    </row>
    <row r="24" spans="1:7">
      <c r="A24" s="4" t="s">
        <v>31</v>
      </c>
      <c r="F24" s="11">
        <f>AVERAGE(F17:F23)</f>
        <v>0</v>
      </c>
      <c r="G24" s="6" t="s">
        <v>32</v>
      </c>
    </row>
    <row r="25" spans="1:7">
      <c r="A25" s="4" t="s">
        <v>33</v>
      </c>
      <c r="F25" s="11">
        <f>MIN(F17:F23)</f>
        <v>0</v>
      </c>
      <c r="G25" s="6" t="s">
        <v>34</v>
      </c>
    </row>
    <row r="26" spans="1:7">
      <c r="A26" s="4" t="s">
        <v>35</v>
      </c>
      <c r="F26" s="12">
        <f>IF(F25&gt;=1.5,"Clears 1.50 weak year read",IF(F25&gt;=1.25,"Clears illustration, below 1.50 read","Below illustration"))</f>
        <v>0</v>
      </c>
      <c r="G26" s="6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8"/>
  <sheetViews>
    <sheetView workbookViewId="0"/>
  </sheetViews>
  <sheetFormatPr defaultRowHeight="15"/>
  <cols>
    <col min="1" max="1" width="46.7109375" customWidth="1"/>
    <col min="2" max="2" width="18.7109375" customWidth="1"/>
    <col min="3" max="3" width="58.7109375" customWidth="1"/>
  </cols>
  <sheetData>
    <row r="1" spans="1:3">
      <c r="A1" s="1" t="s">
        <v>37</v>
      </c>
    </row>
    <row r="2" spans="1:3">
      <c r="A2" s="2" t="s">
        <v>38</v>
      </c>
    </row>
    <row r="3" spans="1:3">
      <c r="A3" s="2" t="s">
        <v>39</v>
      </c>
    </row>
    <row r="5" spans="1:3">
      <c r="A5" s="3" t="s">
        <v>40</v>
      </c>
      <c r="B5" s="3" t="s">
        <v>41</v>
      </c>
      <c r="C5" s="3" t="s">
        <v>5</v>
      </c>
    </row>
    <row r="6" spans="1:3">
      <c r="A6" s="4" t="s">
        <v>42</v>
      </c>
      <c r="B6" s="5">
        <v>60</v>
      </c>
      <c r="C6" s="6" t="s">
        <v>43</v>
      </c>
    </row>
    <row r="7" spans="1:3">
      <c r="A7" s="4" t="s">
        <v>44</v>
      </c>
      <c r="B7" s="5">
        <v>80</v>
      </c>
      <c r="C7" s="6" t="s">
        <v>45</v>
      </c>
    </row>
    <row r="8" spans="1:3">
      <c r="A8" s="4" t="s">
        <v>46</v>
      </c>
      <c r="B8" s="5">
        <v>5</v>
      </c>
      <c r="C8" s="6" t="s">
        <v>47</v>
      </c>
    </row>
    <row r="9" spans="1:3">
      <c r="A9" s="4" t="s">
        <v>48</v>
      </c>
      <c r="B9" s="5">
        <v>40</v>
      </c>
      <c r="C9" s="6" t="s">
        <v>49</v>
      </c>
    </row>
    <row r="10" spans="1:3">
      <c r="A10" s="4" t="s">
        <v>50</v>
      </c>
      <c r="B10" s="5">
        <v>15</v>
      </c>
      <c r="C10" s="6" t="s">
        <v>51</v>
      </c>
    </row>
    <row r="11" spans="1:3">
      <c r="A11" s="4" t="s">
        <v>52</v>
      </c>
      <c r="B11" s="5">
        <v>50</v>
      </c>
      <c r="C11" s="6" t="s">
        <v>53</v>
      </c>
    </row>
    <row r="12" spans="1:3">
      <c r="A12" s="4" t="s">
        <v>54</v>
      </c>
      <c r="B12" s="5">
        <v>26</v>
      </c>
      <c r="C12" s="6" t="s">
        <v>55</v>
      </c>
    </row>
    <row r="13" spans="1:3">
      <c r="A13" s="4" t="s">
        <v>56</v>
      </c>
      <c r="B13" s="5">
        <v>50</v>
      </c>
      <c r="C13" s="6" t="s">
        <v>57</v>
      </c>
    </row>
    <row r="14" spans="1:3">
      <c r="A14" s="4" t="s">
        <v>58</v>
      </c>
      <c r="B14" s="5">
        <v>62</v>
      </c>
      <c r="C14" s="6" t="s">
        <v>59</v>
      </c>
    </row>
    <row r="15" spans="1:3">
      <c r="A15" s="4" t="s">
        <v>60</v>
      </c>
      <c r="B15" s="7">
        <v>0.25</v>
      </c>
      <c r="C15" s="6" t="s">
        <v>61</v>
      </c>
    </row>
    <row r="16" spans="1:3">
      <c r="A16" s="4" t="s">
        <v>62</v>
      </c>
      <c r="B16" s="7">
        <v>0.4</v>
      </c>
      <c r="C16" s="6" t="s">
        <v>63</v>
      </c>
    </row>
    <row r="17" spans="1:3">
      <c r="A17" s="4" t="s">
        <v>64</v>
      </c>
      <c r="B17" s="9">
        <f>SUM(B6:B8)</f>
        <v>0</v>
      </c>
      <c r="C17" s="6" t="s">
        <v>65</v>
      </c>
    </row>
    <row r="18" spans="1:3">
      <c r="A18" s="4" t="s">
        <v>50</v>
      </c>
      <c r="B18" s="9">
        <f>B9+B10</f>
        <v>0</v>
      </c>
      <c r="C18" s="6" t="s">
        <v>66</v>
      </c>
    </row>
    <row r="19" spans="1:3">
      <c r="A19" s="4" t="s">
        <v>67</v>
      </c>
      <c r="B19" s="9">
        <f>B17-B18</f>
        <v>0</v>
      </c>
      <c r="C19" s="6" t="s">
        <v>68</v>
      </c>
    </row>
    <row r="20" spans="1:3">
      <c r="A20" s="4" t="s">
        <v>69</v>
      </c>
      <c r="B20" s="9">
        <f>0.75*B19</f>
        <v>0</v>
      </c>
      <c r="C20" s="6" t="s">
        <v>70</v>
      </c>
    </row>
    <row r="21" spans="1:3">
      <c r="A21" s="4" t="s">
        <v>71</v>
      </c>
      <c r="B21" s="9">
        <f>0.75*B17-B18</f>
        <v>0</v>
      </c>
      <c r="C21" s="6" t="s">
        <v>72</v>
      </c>
    </row>
    <row r="22" spans="1:3">
      <c r="A22" s="4" t="s">
        <v>73</v>
      </c>
      <c r="B22" s="9">
        <f>0.25*B17</f>
        <v>0</v>
      </c>
      <c r="C22" s="6" t="s">
        <v>74</v>
      </c>
    </row>
    <row r="23" spans="1:3">
      <c r="A23" s="4" t="s">
        <v>75</v>
      </c>
      <c r="B23" s="11">
        <f>B17/(B18+B21)</f>
        <v>0</v>
      </c>
      <c r="C23" s="6" t="s">
        <v>76</v>
      </c>
    </row>
    <row r="24" spans="1:3">
      <c r="A24" s="4" t="s">
        <v>77</v>
      </c>
      <c r="B24" s="9">
        <f>B22-B12</f>
        <v>0</v>
      </c>
      <c r="C24" s="6" t="s">
        <v>78</v>
      </c>
    </row>
    <row r="25" spans="1:3">
      <c r="A25" s="4" t="s">
        <v>79</v>
      </c>
      <c r="B25" s="9">
        <f>B13*(1-B15)</f>
        <v>0</v>
      </c>
      <c r="C25" s="6" t="s">
        <v>80</v>
      </c>
    </row>
    <row r="26" spans="1:3">
      <c r="A26" s="4" t="s">
        <v>81</v>
      </c>
      <c r="B26" s="9">
        <f>B14*(1-B16)</f>
        <v>0</v>
      </c>
      <c r="C26" s="6" t="s">
        <v>82</v>
      </c>
    </row>
    <row r="27" spans="1:3">
      <c r="A27" s="4" t="s">
        <v>83</v>
      </c>
      <c r="B27" s="9">
        <f>B25+B26</f>
        <v>0</v>
      </c>
      <c r="C27" s="6" t="s">
        <v>84</v>
      </c>
    </row>
    <row r="28" spans="1:3">
      <c r="A28" s="4" t="s">
        <v>85</v>
      </c>
      <c r="B28" s="9">
        <f>MIN(B11,B27)</f>
        <v>0</v>
      </c>
      <c r="C28" s="6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sheetFormatPr defaultRowHeight="15"/>
  <cols>
    <col min="1" max="1" width="46.7109375" customWidth="1"/>
    <col min="2" max="3" width="18.7109375" customWidth="1"/>
    <col min="4" max="4" width="16.7109375" customWidth="1"/>
  </cols>
  <sheetData>
    <row r="1" spans="1:4">
      <c r="A1" s="1" t="s">
        <v>87</v>
      </c>
    </row>
    <row r="2" spans="1:4">
      <c r="A2" s="2" t="s">
        <v>88</v>
      </c>
    </row>
    <row r="4" spans="1:4">
      <c r="A4" s="3" t="s">
        <v>89</v>
      </c>
      <c r="B4" s="3" t="s">
        <v>90</v>
      </c>
      <c r="C4" s="3" t="s">
        <v>91</v>
      </c>
      <c r="D4" s="3" t="s">
        <v>92</v>
      </c>
    </row>
    <row r="5" spans="1:4">
      <c r="A5" s="4" t="s">
        <v>93</v>
      </c>
      <c r="B5" s="9">
        <v>16</v>
      </c>
      <c r="C5" s="9">
        <f>'Term Loan DSCR'!B12</f>
        <v>0</v>
      </c>
      <c r="D5" s="12">
        <f>IF(ABS(C5-B5)&lt;0.01,"PASS","CHECK")</f>
        <v>0</v>
      </c>
    </row>
    <row r="6" spans="1:4">
      <c r="A6" s="4" t="s">
        <v>94</v>
      </c>
      <c r="B6" s="9">
        <v>1.32</v>
      </c>
      <c r="C6" s="9">
        <f>'Term Loan DSCR'!F17</f>
        <v>0</v>
      </c>
      <c r="D6" s="12">
        <f>IF(ABS(C6-B6)&lt;0.01,"PASS","CHECK")</f>
        <v>0</v>
      </c>
    </row>
    <row r="7" spans="1:4">
      <c r="A7" s="4" t="s">
        <v>95</v>
      </c>
      <c r="B7" s="9">
        <v>1.97</v>
      </c>
      <c r="C7" s="9">
        <f>'Term Loan DSCR'!F24</f>
        <v>0</v>
      </c>
      <c r="D7" s="12">
        <f>IF(ABS(C7-B7)&lt;0.01,"PASS","CHECK")</f>
        <v>0</v>
      </c>
    </row>
    <row r="8" spans="1:4">
      <c r="A8" s="4" t="s">
        <v>96</v>
      </c>
      <c r="B8" s="9">
        <v>1.32</v>
      </c>
      <c r="C8" s="9">
        <f>'Term Loan DSCR'!F25</f>
        <v>0</v>
      </c>
      <c r="D8" s="12">
        <f>IF(ABS(C8-B8)&lt;0.01,"PASS","CHECK")</f>
        <v>0</v>
      </c>
    </row>
    <row r="9" spans="1:4">
      <c r="A9" s="4" t="s">
        <v>97</v>
      </c>
      <c r="B9" s="9">
        <v>145</v>
      </c>
      <c r="C9" s="9">
        <f>'Working Capital MPBF'!B17</f>
        <v>0</v>
      </c>
      <c r="D9" s="12">
        <f>IF(ABS(C9-B9)&lt;0.01,"PASS","CHECK")</f>
        <v>0</v>
      </c>
    </row>
    <row r="10" spans="1:4">
      <c r="A10" s="4" t="s">
        <v>98</v>
      </c>
      <c r="B10" s="9">
        <v>53.75</v>
      </c>
      <c r="C10" s="9">
        <f>'Working Capital MPBF'!B21</f>
        <v>0</v>
      </c>
      <c r="D10" s="12">
        <f>IF(ABS(C10-B10)&lt;0.01,"PASS","CHECK")</f>
        <v>0</v>
      </c>
    </row>
    <row r="11" spans="1:4">
      <c r="A11" s="4" t="s">
        <v>99</v>
      </c>
      <c r="B11" s="9">
        <v>1.33</v>
      </c>
      <c r="C11" s="9">
        <f>'Working Capital MPBF'!B23</f>
        <v>0</v>
      </c>
      <c r="D11" s="12">
        <f>IF(ABS(C11-B11)&lt;0.01,"PASS","CHECK")</f>
        <v>0</v>
      </c>
    </row>
    <row r="12" spans="1:4">
      <c r="A12" s="4" t="s">
        <v>100</v>
      </c>
      <c r="B12" s="9">
        <v>10.25</v>
      </c>
      <c r="C12" s="9">
        <f>'Working Capital MPBF'!B24</f>
        <v>0</v>
      </c>
      <c r="D12" s="12">
        <f>IF(ABS(C12-B12)&lt;0.01,"PASS","CHECK")</f>
        <v>0</v>
      </c>
    </row>
    <row r="13" spans="1:4">
      <c r="A13" s="4" t="s">
        <v>101</v>
      </c>
      <c r="B13" s="9">
        <v>74.7</v>
      </c>
      <c r="C13" s="9">
        <f>'Working Capital MPBF'!B27</f>
        <v>0</v>
      </c>
      <c r="D13" s="12">
        <f>IF(ABS(C13-B13)&lt;0.01,"PASS","CHECK")</f>
        <v>0</v>
      </c>
    </row>
    <row r="14" spans="1:4">
      <c r="A14" s="4" t="s">
        <v>102</v>
      </c>
      <c r="B14" s="9">
        <v>50</v>
      </c>
      <c r="C14" s="9">
        <f>'Working Capital MPBF'!B28</f>
        <v>0</v>
      </c>
      <c r="D14" s="12">
        <f>IF(ABS(C14-B14)&lt;0.01,"PASS","CHECK")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108.7109375" customWidth="1"/>
  </cols>
  <sheetData>
    <row r="1" spans="1:1">
      <c r="A1" s="1" t="s">
        <v>103</v>
      </c>
    </row>
    <row r="2" spans="1:1">
      <c r="A2" s="2" t="s">
        <v>104</v>
      </c>
    </row>
    <row r="4" spans="1:1">
      <c r="A4" s="6" t="s">
        <v>105</v>
      </c>
    </row>
    <row r="5" spans="1:1">
      <c r="A5" s="6" t="s">
        <v>106</v>
      </c>
    </row>
    <row r="6" spans="1:1">
      <c r="A6" s="6" t="s">
        <v>107</v>
      </c>
    </row>
    <row r="7" spans="1:1">
      <c r="A7" s="6" t="s">
        <v>108</v>
      </c>
    </row>
    <row r="8" spans="1:1">
      <c r="A8" s="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Term Loan DSCR</vt:lpstr>
      <vt:lpstr>Working Capital MPBF</vt:lpstr>
      <vt:lpstr>Checks</vt:lpstr>
      <vt:lpstr>How to use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2026-10-09T11:35:08Z</dcterms:created>
  <dcterms:modified xsi:type="dcterms:W3CDTF">2026-10-09T11:35:08Z</dcterms:modified>
</cp:coreProperties>
</file>